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d984ad1eb713865/Documents/"/>
    </mc:Choice>
  </mc:AlternateContent>
  <xr:revisionPtr revIDLastSave="0" documentId="8_{68E56207-805F-433B-ABF1-32C950F697BE}" xr6:coauthVersionLast="47" xr6:coauthVersionMax="47" xr10:uidLastSave="{00000000-0000-0000-0000-000000000000}"/>
  <bookViews>
    <workbookView xWindow="-108" yWindow="-108" windowWidth="23256" windowHeight="13896" xr2:uid="{8DD6D1E1-A94F-4DA9-AA84-3D3F2CFCF5AA}"/>
  </bookViews>
  <sheets>
    <sheet name="Abstract" sheetId="1" r:id="rId1"/>
    <sheet name="CLIN Detail" sheetId="4" r:id="rId2"/>
    <sheet name="Analysis" sheetId="2" r:id="rId3"/>
    <sheet name="Charts" sheetId="3" r:id="rId4"/>
  </sheets>
  <definedNames>
    <definedName name="IGElabel">Abstract!$B$17</definedName>
    <definedName name="OfferorNames">Abstract!$B$7:$B$16</definedName>
    <definedName name="_xlnm.Print_Area" localSheetId="0">Abstract!$A$1:$L$66</definedName>
    <definedName name="_xlnm.Print_Area" localSheetId="1">'CLIN Detail'!$A$1:$Z$20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58" i="1" l="1"/>
  <c r="C58" i="1"/>
  <c r="Q31" i="3"/>
  <c r="Q9" i="3"/>
  <c r="D13" i="3"/>
  <c r="E24" i="2"/>
  <c r="A29" i="1"/>
  <c r="A28" i="1"/>
  <c r="B16" i="2"/>
  <c r="B15" i="2"/>
  <c r="A15" i="2"/>
  <c r="R57" i="3" s="1"/>
  <c r="B14" i="2"/>
  <c r="A14" i="2"/>
  <c r="R56" i="3" s="1"/>
  <c r="B13" i="2"/>
  <c r="A13" i="2"/>
  <c r="Q55" i="3" s="1"/>
  <c r="B12" i="2"/>
  <c r="A12" i="2"/>
  <c r="D9" i="3" s="1"/>
  <c r="B11" i="2"/>
  <c r="A11" i="2"/>
  <c r="C8" i="3" s="1"/>
  <c r="B10" i="2"/>
  <c r="A10" i="2"/>
  <c r="B9" i="2"/>
  <c r="A9" i="2"/>
  <c r="P51" i="3" s="1"/>
  <c r="B8" i="2"/>
  <c r="A8" i="2"/>
  <c r="R50" i="3" s="1"/>
  <c r="B7" i="2"/>
  <c r="A7" i="2"/>
  <c r="Q49" i="3" s="1"/>
  <c r="B6" i="2"/>
  <c r="A6" i="2"/>
  <c r="P48" i="3" s="1"/>
  <c r="L43" i="1"/>
  <c r="K43" i="1"/>
  <c r="K44" i="1" s="1" a="1"/>
  <c r="K44" i="1" s="1"/>
  <c r="J43" i="1"/>
  <c r="I43" i="1"/>
  <c r="H43" i="1"/>
  <c r="G43" i="1"/>
  <c r="F43" i="1"/>
  <c r="E43" i="1"/>
  <c r="D43" i="1"/>
  <c r="C43" i="1"/>
  <c r="B43" i="1"/>
  <c r="A37" i="1"/>
  <c r="A36" i="1"/>
  <c r="A35" i="1"/>
  <c r="A34" i="1"/>
  <c r="A33" i="1"/>
  <c r="A32" i="1"/>
  <c r="A31" i="1"/>
  <c r="A30" i="1"/>
  <c r="Z19" i="4"/>
  <c r="X19" i="4"/>
  <c r="V19" i="4"/>
  <c r="T19" i="4"/>
  <c r="R19" i="4"/>
  <c r="P19" i="4"/>
  <c r="N19" i="4"/>
  <c r="L19" i="4"/>
  <c r="J19" i="4"/>
  <c r="H19" i="4"/>
  <c r="F19" i="4"/>
  <c r="Z18" i="4"/>
  <c r="X18" i="4"/>
  <c r="V18" i="4"/>
  <c r="T18" i="4"/>
  <c r="R18" i="4"/>
  <c r="P18" i="4"/>
  <c r="N18" i="4"/>
  <c r="L18" i="4"/>
  <c r="J18" i="4"/>
  <c r="H18" i="4"/>
  <c r="F18" i="4"/>
  <c r="Z17" i="4"/>
  <c r="X17" i="4"/>
  <c r="V17" i="4"/>
  <c r="T17" i="4"/>
  <c r="R17" i="4"/>
  <c r="P17" i="4"/>
  <c r="N17" i="4"/>
  <c r="L17" i="4"/>
  <c r="J17" i="4"/>
  <c r="H17" i="4"/>
  <c r="F17" i="4"/>
  <c r="Z16" i="4"/>
  <c r="X16" i="4"/>
  <c r="V16" i="4"/>
  <c r="T16" i="4"/>
  <c r="R16" i="4"/>
  <c r="P16" i="4"/>
  <c r="N16" i="4"/>
  <c r="L16" i="4"/>
  <c r="J16" i="4"/>
  <c r="H16" i="4"/>
  <c r="F16" i="4"/>
  <c r="Z15" i="4"/>
  <c r="X15" i="4"/>
  <c r="V15" i="4"/>
  <c r="T15" i="4"/>
  <c r="R15" i="4"/>
  <c r="P15" i="4"/>
  <c r="N15" i="4"/>
  <c r="L15" i="4"/>
  <c r="J15" i="4"/>
  <c r="H15" i="4"/>
  <c r="F15" i="4"/>
  <c r="Z14" i="4"/>
  <c r="X14" i="4"/>
  <c r="V14" i="4"/>
  <c r="T14" i="4"/>
  <c r="R14" i="4"/>
  <c r="P14" i="4"/>
  <c r="N14" i="4"/>
  <c r="L14" i="4"/>
  <c r="J14" i="4"/>
  <c r="H14" i="4"/>
  <c r="F14" i="4"/>
  <c r="Z13" i="4"/>
  <c r="X13" i="4"/>
  <c r="V13" i="4"/>
  <c r="T13" i="4"/>
  <c r="R13" i="4"/>
  <c r="P13" i="4"/>
  <c r="N13" i="4"/>
  <c r="L13" i="4"/>
  <c r="J13" i="4"/>
  <c r="H13" i="4"/>
  <c r="F13" i="4"/>
  <c r="Z12" i="4"/>
  <c r="X12" i="4"/>
  <c r="V12" i="4"/>
  <c r="T12" i="4"/>
  <c r="R12" i="4"/>
  <c r="P12" i="4"/>
  <c r="N12" i="4"/>
  <c r="L12" i="4"/>
  <c r="J12" i="4"/>
  <c r="H12" i="4"/>
  <c r="F12" i="4"/>
  <c r="Z11" i="4"/>
  <c r="X11" i="4"/>
  <c r="V11" i="4"/>
  <c r="T11" i="4"/>
  <c r="R11" i="4"/>
  <c r="P11" i="4"/>
  <c r="N11" i="4"/>
  <c r="L11" i="4"/>
  <c r="J11" i="4"/>
  <c r="H11" i="4"/>
  <c r="F11" i="4"/>
  <c r="Z10" i="4"/>
  <c r="Z20" i="4" s="1"/>
  <c r="X10" i="4"/>
  <c r="X20" i="4" s="1"/>
  <c r="V10" i="4"/>
  <c r="T10" i="4"/>
  <c r="T20" i="4" s="1"/>
  <c r="R10" i="4"/>
  <c r="P10" i="4"/>
  <c r="N10" i="4"/>
  <c r="L10" i="4"/>
  <c r="J10" i="4"/>
  <c r="H10" i="4"/>
  <c r="F10" i="4"/>
  <c r="Y8" i="4"/>
  <c r="W8" i="4"/>
  <c r="U8" i="4"/>
  <c r="S8" i="4"/>
  <c r="Q8" i="4"/>
  <c r="O8" i="4"/>
  <c r="M8" i="4"/>
  <c r="K8" i="4"/>
  <c r="I8" i="4"/>
  <c r="G8" i="4"/>
  <c r="E8" i="4"/>
  <c r="B48" i="1"/>
  <c r="C48" i="1"/>
  <c r="D48" i="1"/>
  <c r="E48" i="1"/>
  <c r="F48" i="1"/>
  <c r="G48" i="1"/>
  <c r="H48" i="1"/>
  <c r="I48" i="1"/>
  <c r="J48" i="1"/>
  <c r="K48" i="1"/>
  <c r="I44" i="1" a="1"/>
  <c r="I44" i="1" s="1"/>
  <c r="J44" i="1" a="1"/>
  <c r="J44" i="1" s="1"/>
  <c r="L42" i="1"/>
  <c r="K42" i="1"/>
  <c r="J42" i="1"/>
  <c r="I42" i="1"/>
  <c r="H42" i="1"/>
  <c r="G42" i="1"/>
  <c r="F42" i="1"/>
  <c r="E42" i="1"/>
  <c r="D42" i="1"/>
  <c r="C42" i="1"/>
  <c r="B42" i="1"/>
  <c r="D8" i="3" l="1"/>
  <c r="C9" i="3"/>
  <c r="C10" i="3"/>
  <c r="D10" i="3"/>
  <c r="D15" i="2"/>
  <c r="D84" i="3" a="1"/>
  <c r="D84" i="3" s="1"/>
  <c r="C84" i="3" s="1"/>
  <c r="C11" i="3"/>
  <c r="C38" i="3"/>
  <c r="C3" i="3"/>
  <c r="D11" i="3"/>
  <c r="Q48" i="3"/>
  <c r="C37" i="3"/>
  <c r="R48" i="3"/>
  <c r="D75" i="3" a="1"/>
  <c r="D75" i="3" s="1"/>
  <c r="C75" i="3" s="1"/>
  <c r="P49" i="3"/>
  <c r="R49" i="3"/>
  <c r="Q53" i="3"/>
  <c r="R53" i="3"/>
  <c r="D14" i="2"/>
  <c r="C31" i="3"/>
  <c r="R55" i="3"/>
  <c r="C35" i="3"/>
  <c r="P56" i="3"/>
  <c r="C36" i="3"/>
  <c r="Q56" i="3"/>
  <c r="D78" i="3" a="1"/>
  <c r="D78" i="3" s="1"/>
  <c r="C78" i="3" s="1"/>
  <c r="C4" i="3"/>
  <c r="D4" i="3"/>
  <c r="C12" i="2"/>
  <c r="D36" i="3" s="1"/>
  <c r="P54" i="3"/>
  <c r="R54" i="3"/>
  <c r="P55" i="3"/>
  <c r="C15" i="2"/>
  <c r="D39" i="3" s="1"/>
  <c r="D79" i="3" a="1"/>
  <c r="D79" i="3" s="1"/>
  <c r="C79" i="3" s="1"/>
  <c r="E20" i="2" a="1"/>
  <c r="E20" i="2" s="1"/>
  <c r="Q29" i="3" s="1"/>
  <c r="Q51" i="3"/>
  <c r="F20" i="2" a="1"/>
  <c r="F20" i="2" s="1"/>
  <c r="D3" i="3"/>
  <c r="C30" i="3"/>
  <c r="R51" i="3"/>
  <c r="P52" i="3"/>
  <c r="C13" i="2"/>
  <c r="D37" i="3" s="1"/>
  <c r="Q52" i="3"/>
  <c r="D13" i="2"/>
  <c r="C5" i="3"/>
  <c r="R52" i="3"/>
  <c r="D5" i="3"/>
  <c r="C32" i="3"/>
  <c r="P53" i="3"/>
  <c r="A32" i="2" a="1"/>
  <c r="A32" i="2" s="1"/>
  <c r="D53" i="3" s="1"/>
  <c r="C6" i="3"/>
  <c r="C14" i="2"/>
  <c r="D38" i="3" s="1"/>
  <c r="D6" i="3"/>
  <c r="C33" i="3"/>
  <c r="C7" i="3"/>
  <c r="D76" i="3" a="1"/>
  <c r="D76" i="3" s="1"/>
  <c r="C76" i="3" s="1"/>
  <c r="D7" i="3"/>
  <c r="C34" i="3"/>
  <c r="Q54" i="3"/>
  <c r="C7" i="2"/>
  <c r="D31" i="3" s="1"/>
  <c r="D77" i="3" a="1"/>
  <c r="D77" i="3" s="1"/>
  <c r="C77" i="3" s="1"/>
  <c r="C8" i="2"/>
  <c r="D32" i="3" s="1"/>
  <c r="C9" i="2"/>
  <c r="D33" i="3" s="1"/>
  <c r="D80" i="3" a="1"/>
  <c r="D80" i="3" s="1"/>
  <c r="C80" i="3" s="1"/>
  <c r="D81" i="3" a="1"/>
  <c r="D81" i="3" s="1"/>
  <c r="C81" i="3" s="1"/>
  <c r="C10" i="2"/>
  <c r="D34" i="3" s="1"/>
  <c r="A20" i="2"/>
  <c r="B32" i="2" a="1"/>
  <c r="B32" i="2" s="1"/>
  <c r="D54" i="3" s="1"/>
  <c r="D82" i="3" a="1"/>
  <c r="D82" i="3" s="1"/>
  <c r="C82" i="3" s="1"/>
  <c r="P50" i="3"/>
  <c r="B20" i="2"/>
  <c r="D83" i="3" a="1"/>
  <c r="D83" i="3" s="1"/>
  <c r="C83" i="3" s="1"/>
  <c r="Q50" i="3"/>
  <c r="P57" i="3"/>
  <c r="D11" i="2"/>
  <c r="C20" i="2"/>
  <c r="Q30" i="3" s="1"/>
  <c r="C32" i="2" a="1"/>
  <c r="C32" i="2" s="1"/>
  <c r="D55" i="3" s="1"/>
  <c r="C12" i="3"/>
  <c r="Q57" i="3"/>
  <c r="D20" i="2"/>
  <c r="D32" i="2" a="1"/>
  <c r="D32" i="2" s="1"/>
  <c r="D56" i="3" s="1"/>
  <c r="D12" i="3"/>
  <c r="C39" i="3"/>
  <c r="D12" i="2"/>
  <c r="C11" i="2"/>
  <c r="D35" i="3" s="1"/>
  <c r="D10" i="2"/>
  <c r="C6" i="2"/>
  <c r="D30" i="3" s="1"/>
  <c r="D8" i="2"/>
  <c r="D9" i="2"/>
  <c r="D7" i="2"/>
  <c r="D6" i="2"/>
  <c r="F20" i="4"/>
  <c r="L20" i="4"/>
  <c r="P20" i="4"/>
  <c r="H20" i="4"/>
  <c r="J20" i="4"/>
  <c r="N20" i="4"/>
  <c r="R20" i="4"/>
  <c r="V20" i="4"/>
  <c r="H44" i="1" a="1"/>
  <c r="H44" i="1" s="1"/>
  <c r="G44" i="1" a="1"/>
  <c r="G44" i="1" s="1"/>
  <c r="B26" i="2" l="1" a="1"/>
  <c r="B26" i="2" s="1"/>
  <c r="Q8" i="3" s="1"/>
  <c r="B25" i="2" a="1"/>
  <c r="B25" i="2" s="1"/>
  <c r="P8" i="3" s="1"/>
  <c r="E26" i="2"/>
  <c r="Q28" i="3"/>
  <c r="H20" i="2"/>
  <c r="E25" i="2"/>
  <c r="Q27" i="3"/>
  <c r="B24" i="2"/>
  <c r="Q7" i="3" s="1"/>
  <c r="B23" i="2"/>
  <c r="P7" i="3" s="1"/>
  <c r="G20" i="2"/>
  <c r="F44" i="1" a="1"/>
  <c r="F44" i="1" s="1"/>
  <c r="E44" i="1" a="1"/>
  <c r="E44" i="1" s="1"/>
  <c r="B27" i="2" l="1"/>
  <c r="B28" i="2"/>
  <c r="E45" i="1"/>
  <c r="F45" i="1"/>
  <c r="G45" i="1"/>
  <c r="H45" i="1"/>
  <c r="I45" i="1"/>
  <c r="J45" i="1"/>
  <c r="K45" i="1"/>
  <c r="D44" i="1" a="1"/>
  <c r="D44" i="1" s="1"/>
  <c r="D45" i="1"/>
  <c r="C44" i="1" a="1"/>
  <c r="C44" i="1" s="1"/>
  <c r="C45" i="1"/>
  <c r="B44" i="1" a="1"/>
  <c r="B44" i="1" s="1"/>
  <c r="B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Nick hazelett</author>
  </authors>
  <commentList>
    <comment ref="B23" authorId="0" shapeId="0" xr:uid="{80BF2D85-EFF2-433E-9957-A2A28E703689}">
      <text>
        <r>
          <rPr>
            <b/>
            <sz val="9"/>
            <color indexed="81"/>
            <rFont val="Tahoma"/>
            <charset val="1"/>
          </rPr>
          <t>Independent Government Estimate total — auto-calculated from per-CLIN IGE unit prices entered in column Y of the Quotes Received table below.</t>
        </r>
      </text>
    </comment>
    <comment ref="A58" authorId="0" shapeId="0" xr:uid="{F9B155A4-5921-4A0C-A83A-BD9ABCDF6FAF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Auto-populated with the apparent low offeror (rank 1). You can overwrite this cell if awarding to a different offeror.</t>
        </r>
      </text>
    </comment>
    <comment ref="C58" authorId="0" shapeId="0" xr:uid="{E8EE4B1F-1AEC-4D86-ADFB-0B897B36E68C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Auto-populated with the apparent low offeror (rank 1). Overwrite to award a different offeror.</t>
        </r>
      </text>
    </comment>
    <comment ref="H58" authorId="0" shapeId="0" xr:uid="{3FAD6681-B860-4E9E-BCCC-1BD3BEB4A041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Auto-populated with the winning offeror's total. You can overwrite if adjusting.</t>
        </r>
      </text>
    </comment>
    <comment ref="J58" authorId="0" shapeId="0" xr:uid="{4067E67E-DEED-417D-9EB4-553B91C90181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Auto-populated with the winning offeror's total. Overwrite if adjusting.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Nick hazelett</author>
  </authors>
  <commentList>
    <comment ref="D5" authorId="0" shapeId="0" xr:uid="{5263E4D1-3758-4E3C-A41B-14BDE2AA6E43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Rank by total evaluated price. 1 = lowest (apparent low offeror).</t>
        </r>
      </text>
    </comment>
    <comment ref="G19" authorId="0" shapeId="0" xr:uid="{19875EDD-D5F4-44EB-A13C-7FEE0F0A573E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Spread % = (Max - Min) / Min. Wide spreads may indicate unclear specs.</t>
        </r>
      </text>
    </comment>
    <comment ref="H19" authorId="0" shapeId="0" xr:uid="{D6978455-041D-4BCC-BB42-8574B9A7F4B1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Coefficient of Variation = Std Dev / Mean. &lt;15% = tight competition, &gt;30% = high dispersion.</t>
        </r>
      </text>
    </comment>
    <comment ref="C31" authorId="0" shapeId="0" xr:uid="{62AAB722-5B70-4CDE-856B-5C9537FA9C27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Offers &gt;25% above IGE may warrant further price analysis (FAR 13.106-3).</t>
        </r>
      </text>
    </comment>
    <comment ref="D31" authorId="0" shapeId="0" xr:uid="{7559527F-F69A-4C44-B06A-B9FA66C44990}">
      <text>
        <r>
          <rPr>
            <b/>
            <sz val="9"/>
            <color indexed="81"/>
            <rFont val="Tahoma"/>
            <charset val="1"/>
          </rPr>
          <t>Nick hazelett:</t>
        </r>
        <r>
          <rPr>
            <sz val="9"/>
            <color indexed="81"/>
            <rFont val="Tahoma"/>
            <charset val="1"/>
          </rPr>
          <t xml:space="preserve">
Offers &gt;25% below IGE may indicate misunderstanding of requirement — verify responsibility.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<sst xmlns="http://schemas.openxmlformats.org/spreadsheetml/2006/main" count="185" uniqueCount="134">
  <si>
    <t>ABSTRACT OF OFFERS</t>
  </si>
  <si>
    <t>FAR Part 13 Simplified Acquisition / FAR Part 12 Commercial Items</t>
  </si>
  <si>
    <t>SOLICITATION INFORMATION</t>
  </si>
  <si>
    <t>Solicitation No.:</t>
  </si>
  <si>
    <t>Issue Date:</t>
  </si>
  <si>
    <t>Closing Date:</t>
  </si>
  <si>
    <t>Description:</t>
  </si>
  <si>
    <t>Contracting Officer:</t>
  </si>
  <si>
    <t>Est. Value:</t>
  </si>
  <si>
    <t>QUOTES RECEIVED</t>
  </si>
  <si>
    <t>CLIN</t>
  </si>
  <si>
    <t>Description</t>
  </si>
  <si>
    <t>Qty</t>
  </si>
  <si>
    <t>Unit</t>
  </si>
  <si>
    <t>EA</t>
  </si>
  <si>
    <t>Rank (by Price)</t>
  </si>
  <si>
    <t>RESPONSIBILITY &amp; EVALUATION DETERMINATIONS (FAR 9.104 / 13.106)</t>
  </si>
  <si>
    <t>Criterion</t>
  </si>
  <si>
    <t>Notes</t>
  </si>
  <si>
    <t>SAM.gov Active Registration</t>
  </si>
  <si>
    <t>No Active Exclusions (SAM)</t>
  </si>
  <si>
    <t>Meets Technical / Salient Characteristics</t>
  </si>
  <si>
    <t>Delivery / Performance Schedule Acceptable</t>
  </si>
  <si>
    <t>Price Fair &amp; Reasonable (FAR 13.106-3)</t>
  </si>
  <si>
    <t>Responsive to Solicitation</t>
  </si>
  <si>
    <t>Otherwise Responsible (FAR 9.104-1)</t>
  </si>
  <si>
    <t>AWARD RECOMMENDATION</t>
  </si>
  <si>
    <t>Recommended Awardee:</t>
  </si>
  <si>
    <t>Award Amount:</t>
  </si>
  <si>
    <t>Basis for Award:</t>
  </si>
  <si>
    <t>e.g., Lowest priced, technically acceptable quote determined fair and reasonable by comparison of competitive quotations received in response to the solicitation. Awardee is responsive and responsible per FAR 9.104-1.</t>
  </si>
  <si>
    <t>Price Reasonableness Determination:</t>
  </si>
  <si>
    <t>Prepared By (Contract Specialist):</t>
  </si>
  <si>
    <t>Date:</t>
  </si>
  <si>
    <t>Approved By (Contracting Officer):</t>
  </si>
  <si>
    <t>0001</t>
  </si>
  <si>
    <t>0002</t>
  </si>
  <si>
    <t>0003</t>
  </si>
  <si>
    <t>0004</t>
  </si>
  <si>
    <t>0005</t>
  </si>
  <si>
    <t>TOTAL</t>
  </si>
  <si>
    <t>PRICE COMPARISON SUMMARY</t>
  </si>
  <si>
    <t>Metric</t>
  </si>
  <si>
    <t>Total Evaluated Price</t>
  </si>
  <si>
    <t>SETUP — OFFERORS</t>
  </si>
  <si>
    <t>Enter each offeror's name below. Names flow automatically into the quote table, price comparison, and responsibility matrix. Leave blank slots empty — unused columns will be visually hidden.</t>
  </si>
  <si>
    <t>Slot</t>
  </si>
  <si>
    <t>Offeror Name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</si>
  <si>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</si>
  <si>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</si>
  <si>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</si>
  <si>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</si>
  <si>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</si>
  <si>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</si>
  <si>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</si>
  <si>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</si>
  <si>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</si>
  <si>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</si>
  <si>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IGE</t>
  </si>
  <si>
    <t>Enter unit prices in the yellow cells for each offeror. Extended prices and totals calculate automatically. Columns for offeror slots without a name in Setup will gray out.</t>
  </si>
  <si>
    <t>Item</t>
  </si>
  <si>
    <t>0006</t>
  </si>
  <si>
    <t>0007</t>
  </si>
  <si>
    <t>0008</t>
  </si>
  <si>
    <t>0009</t>
  </si>
  <si>
    <t>0010</t>
  </si>
  <si>
    <t>% vs IGE</t>
  </si>
  <si>
    <t>Price determined fair and reasonable based on adequate price competition (FAR 13.106-3(a)(2)(i)) / comparison to IGE / historical prices / market research.</t>
  </si>
  <si>
    <t>Unit Price</t>
  </si>
  <si>
    <t>Ext. Price</t>
  </si>
  <si>
    <t>QUOTE ANALYSIS</t>
  </si>
  <si>
    <t>Summary statistics and visual comparisons across offerors</t>
  </si>
  <si>
    <t>Mean</t>
  </si>
  <si>
    <t>Median</t>
  </si>
  <si>
    <t>Min</t>
  </si>
  <si>
    <t>Max</t>
  </si>
  <si>
    <t>Std Dev</t>
  </si>
  <si>
    <t>TOTAL PRICE BY OFFEROR</t>
  </si>
  <si>
    <t>Offeror</t>
  </si>
  <si>
    <t>Total Price</t>
  </si>
  <si>
    <t>Spread %</t>
  </si>
  <si>
    <t>CV</t>
  </si>
  <si>
    <t>Rank</t>
  </si>
  <si>
    <t># Offerors</t>
  </si>
  <si>
    <t>APPARENT LOW OFFEROR</t>
  </si>
  <si>
    <t>Apparent Low Offeror:</t>
  </si>
  <si>
    <t>IGE:</t>
  </si>
  <si>
    <t>Within ±10% of IGE</t>
  </si>
  <si>
    <t>±10–25% of IGE</t>
  </si>
  <si>
    <t>&gt;25% Above IGE</t>
  </si>
  <si>
    <t>&gt;25% Below IGE</t>
  </si>
  <si>
    <t>CHARTS</t>
  </si>
  <si>
    <t>Copy-and-paste ready. Click any chart to copy it into Word, PowerPoint, or email. Source tables are to the right of each chart and update automatically as bids are entered.</t>
  </si>
  <si>
    <t>1. Total Price by Offeror</t>
  </si>
  <si>
    <t>Bucket</t>
  </si>
  <si>
    <t>Within ±10%</t>
  </si>
  <si>
    <t>±10–25%</t>
  </si>
  <si>
    <t>CLIN DETAIL (OPTIONAL)</t>
  </si>
  <si>
    <t>Use this tab when the solicitation requires line-item (CLIN-level) pricing. Otherwise, use only the Total Quoted Price on Sheet1 and ignore this tab.</t>
  </si>
  <si>
    <t>Use this tab?</t>
  </si>
  <si>
    <t>No</t>
  </si>
  <si>
    <t>← Informational only. Select Yes/No. If Yes: enter CLIN-level prices below, then manually copy each offeror's TOTAL (row 20) back to Sheet1 Total Quoted Price.</t>
  </si>
  <si>
    <t>Enter each offeror's Total Quoted Price in the yellow cells. For CLIN-level detail, see the CLIN Detail tab (optional).</t>
  </si>
  <si>
    <t>Total Quoted Price</t>
  </si>
  <si>
    <t>SUMMARY STATISTICS</t>
  </si>
  <si>
    <t>Total Price:</t>
  </si>
  <si>
    <t>2nd Lowest Offeror:</t>
  </si>
  <si>
    <t>2nd Lowest Price:</t>
  </si>
  <si>
    <t>$ Below 2nd Lowest:</t>
  </si>
  <si>
    <t>% Below 2nd Lowest:</t>
  </si>
  <si>
    <t>IGE Comparison:</t>
  </si>
  <si>
    <t>IGE Total:</t>
  </si>
  <si>
    <t>Low Offer vs IGE:</t>
  </si>
  <si>
    <t>Mean Offer vs IGE:</t>
  </si>
  <si>
    <t>IGE VARIANCE DISTRIBUTION</t>
  </si>
  <si>
    <t>&gt;25% ABOVE IGE</t>
  </si>
  <si>
    <t>&gt;25% BELOW IGE</t>
  </si>
  <si>
    <t>2. % vs IGE (Variance from Government Estimate)</t>
  </si>
  <si>
    <t>3. IGE Variance Distribution (# of Offerors per bucket)</t>
  </si>
  <si>
    <t>4. Rank by Total Price (Lowest to Highest)</t>
  </si>
  <si>
    <t>5. Apparent Low vs. 2nd Low vs. IGE</t>
  </si>
  <si>
    <t>6. Price Distribution (Min / Mean / Median / Max vs. IGE)</t>
  </si>
  <si>
    <t>Price</t>
  </si>
  <si>
    <t>Min Offer</t>
  </si>
  <si>
    <t>Mean Offer</t>
  </si>
  <si>
    <t>Median Offer</t>
  </si>
  <si>
    <t>Max Offer</t>
  </si>
  <si>
    <t>7. Offeror Prices vs. IGE (side-by-side)</t>
  </si>
  <si>
    <t>Offer Price</t>
  </si>
  <si>
    <t>🔒 SHEET PROTECTION / HOW TO EDIT</t>
  </si>
  <si>
    <t>This workbook is protected to prevent accidental changes to formulas and formatting. Yellow cells are input cells — you can edit those directly. All other cells are locked.</t>
  </si>
  <si>
    <t>To edit locked cells (e.g. to customize the layout): Review tab → Unprotect Sheet. No password is set — just click Unprotect. When done, re-protect via Review → Protect Sheet.</t>
  </si>
  <si>
    <t>Note: This instruction block is below the print area and will NOT appear when you print or export to PDF.</t>
  </si>
  <si>
    <t>To edit locked cells: Review tab → Unprotect Sheet. No password is set. When done, re-protect via Review → Protect Sheet.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</si>
</sst>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&quot;$&quot;#,##0.00;\(&quot;$&quot;#,##0.00\);\-"/>
    <numFmt numFmtId="167" formatCode="0.0%;\(0.0%\);\-"/>
  </numFmts>
  <fonts count="24" x14ac:knownFonts="1">
    <font>
      <sz val="11"/>
      <color theme="1"/>
      <name val="Aptos Narrow"/>
      <family val="2"/>
      <scheme val="minor"/>
    </font>
    <font>
      <b/>
      <sz val="16"/>
      <color rgb="FFFFFFFF"/>
      <name val="Aptos Narrow"/>
      <family val="2"/>
      <scheme val="minor"/>
    </font>
    <font>
      <i/>
      <sz val="10"/>
      <color rgb="FFFFFFFF"/>
      <name val="Aptos Narrow"/>
      <family val="2"/>
      <scheme val="minor"/>
    </font>
    <font>
      <b/>
      <sz val="11"/>
      <color rgb="FF1F3864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1"/>
      <color rgb="FFFFFFFF"/>
      <name val="Aptos Narrow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i/>
      <sz val="11"/>
      <color rgb="FF595959"/>
      <name val="Aptos Narrow"/>
      <scheme val="minor"/>
    </font>
    <font>
      <b/>
      <sz val="14"/>
      <color rgb="FFFFFFFF"/>
      <name val="Aptos Narrow"/>
      <scheme val="minor"/>
    </font>
    <font>
      <b/>
      <sz val="10"/>
      <color rgb="FFFFFFFF"/>
      <name val="Aptos Narrow"/>
      <scheme val="minor"/>
    </font>
    <font>
      <b/>
      <sz val="12"/>
      <color theme="1"/>
      <name val="Aptos Narrow"/>
      <scheme val="minor"/>
    </font>
    <font>
      <b/>
      <sz val="16"/>
      <color rgb="FFFFFFFF"/>
      <name val="Aptos Narrow"/>
      <scheme val="minor"/>
    </font>
    <font>
      <i/>
      <sz val="10"/>
      <color rgb="FFFFFFFF"/>
      <name val="Aptos Narrow"/>
      <scheme val="minor"/>
    </font>
    <font>
      <b/>
      <sz val="11"/>
      <color rgb="FF2C3E50"/>
      <name val="Aptos Narrow"/>
      <scheme val="minor"/>
    </font>
    <font>
      <i/>
      <sz val="9"/>
      <color rgb="FF5D6D7E"/>
      <name val="Aptos Narrow"/>
      <scheme val="minor"/>
    </font>
    <font>
      <sz val="11"/>
      <color rgb="FF1E40AF"/>
      <name val="Aptos Narrow"/>
      <scheme val="minor"/>
    </font>
    <font>
      <i/>
      <sz val="10"/>
      <color rgb="FF5D6D7E"/>
      <name val="Aptos Narrow"/>
      <scheme val="minor"/>
    </font>
    <font>
      <sz val="11"/>
      <color rgb="FF2C3E50"/>
      <name val="Aptos Narrow"/>
      <scheme val="minor"/>
    </font>
    <font>
      <i/>
      <sz val="11"/>
      <color rgb="FF1E40AF"/>
      <name val="Aptos Narrow"/>
      <scheme val="minor"/>
    </font>
    <font>
      <b/>
      <sz val="11"/>
      <color rgb="FF1E40AF"/>
      <name val="Aptos Narrow"/>
      <scheme val="minor"/>
    </font>
    <font>
      <b/>
      <i/>
      <sz val="9"/>
      <color rgb="FF5D6D7E"/>
      <name val="Aptos Narrow"/>
      <scheme val="minor"/>
    </font>
    <font>
      <b/>
      <sz val="12"/>
      <color rgb="FF2C3E50"/>
      <name val="Aptos Narrow"/>
      <scheme val="minor"/>
    </font>
    <font>
      <sz val="11"/>
      <color rgb="FF808B96"/>
      <name val="Aptos Narrow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1F386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2C3E50"/>
        <bgColor indexed="64"/>
      </patternFill>
    </fill>
    <fill>
      <patternFill patternType="solid">
        <fgColor rgb="FFE8EDF2"/>
        <bgColor indexed="64"/>
      </patternFill>
    </fill>
    <fill>
      <patternFill patternType="solid">
        <fgColor rgb="FFFEF3C7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D5D8DC"/>
        <bgColor indexed="64"/>
      </patternFill>
    </fill>
    <fill>
      <patternFill patternType="solid">
        <fgColor rgb="FFDBE9F4"/>
        <bgColor indexed="64"/>
      </patternFill>
    </fill>
    <fill>
      <patternFill patternType="solid">
        <fgColor rgb="FF34495E"/>
        <bgColor indexed="64"/>
      </patternFill>
    </fill>
    <fill>
      <patternFill patternType="solid">
        <fgColor rgb="FF5D6D7E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2" fillId="5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/>
    </xf>
    <xf numFmtId="0" fontId="0" fillId="0" borderId="0" xfId="0" applyProtection="1"/>
    <xf numFmtId="0" fontId="13" fillId="5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/>
    </xf>
    <xf numFmtId="0" fontId="0" fillId="4" borderId="0" xfId="0" applyFill="1" applyProtection="1"/>
    <xf numFmtId="0" fontId="14" fillId="6" borderId="0" xfId="0" applyFont="1" applyFill="1" applyProtection="1"/>
    <xf numFmtId="0" fontId="14" fillId="6" borderId="0" xfId="0" applyFont="1" applyFill="1" applyProtection="1"/>
    <xf numFmtId="0" fontId="15" fillId="4" borderId="0" xfId="0" applyFont="1" applyFill="1" applyAlignment="1" applyProtection="1">
      <alignment wrapText="1"/>
    </xf>
    <xf numFmtId="0" fontId="15" fillId="4" borderId="0" xfId="0" applyFont="1" applyFill="1" applyProtection="1"/>
    <xf numFmtId="0" fontId="5" fillId="5" borderId="1" xfId="0" applyFont="1" applyFill="1" applyBorder="1" applyAlignment="1" applyProtection="1">
      <alignment horizontal="center"/>
    </xf>
    <xf numFmtId="0" fontId="14" fillId="4" borderId="1" xfId="0" applyFont="1" applyFill="1" applyBorder="1" applyAlignment="1" applyProtection="1">
      <alignment horizontal="center"/>
    </xf>
    <xf numFmtId="0" fontId="14" fillId="6" borderId="0" xfId="0" applyFont="1" applyFill="1" applyBorder="1" applyAlignment="1" applyProtection="1">
      <alignment horizontal="center"/>
    </xf>
    <xf numFmtId="0" fontId="14" fillId="4" borderId="1" xfId="0" applyFont="1" applyFill="1" applyBorder="1" applyProtection="1"/>
    <xf numFmtId="0" fontId="16" fillId="7" borderId="1" xfId="0" applyFont="1" applyFill="1" applyBorder="1" applyAlignment="1" applyProtection="1">
      <alignment horizontal="left"/>
    </xf>
    <xf numFmtId="0" fontId="0" fillId="0" borderId="1" xfId="0" applyBorder="1" applyProtection="1"/>
    <xf numFmtId="0" fontId="19" fillId="7" borderId="1" xfId="0" applyFont="1" applyFill="1" applyBorder="1" applyProtection="1"/>
    <xf numFmtId="0" fontId="9" fillId="5" borderId="0" xfId="0" applyFont="1" applyFill="1" applyAlignment="1" applyProtection="1">
      <alignment horizontal="left"/>
    </xf>
    <xf numFmtId="0" fontId="17" fillId="4" borderId="0" xfId="0" applyFont="1" applyFill="1" applyProtection="1"/>
    <xf numFmtId="0" fontId="5" fillId="5" borderId="0" xfId="0" applyFont="1" applyFill="1" applyAlignment="1" applyProtection="1">
      <alignment horizontal="center"/>
    </xf>
    <xf numFmtId="0" fontId="18" fillId="8" borderId="1" xfId="0" applyFont="1" applyFill="1" applyBorder="1" applyProtection="1"/>
    <xf numFmtId="0" fontId="0" fillId="4" borderId="1" xfId="0" applyFill="1" applyBorder="1" applyProtection="1"/>
    <xf numFmtId="49" fontId="14" fillId="6" borderId="0" xfId="0" applyNumberFormat="1" applyFont="1" applyFill="1" applyBorder="1" applyAlignment="1" applyProtection="1">
      <alignment horizontal="center"/>
    </xf>
    <xf numFmtId="49" fontId="3" fillId="3" borderId="0" xfId="0" applyNumberFormat="1" applyFont="1" applyFill="1" applyBorder="1" applyAlignment="1" applyProtection="1">
      <alignment horizontal="center"/>
    </xf>
    <xf numFmtId="0" fontId="5" fillId="5" borderId="1" xfId="0" applyFont="1" applyFill="1" applyBorder="1" applyProtection="1"/>
    <xf numFmtId="0" fontId="5" fillId="11" borderId="1" xfId="0" applyFont="1" applyFill="1" applyBorder="1" applyAlignment="1" applyProtection="1">
      <alignment horizontal="center"/>
    </xf>
    <xf numFmtId="166" fontId="14" fillId="8" borderId="1" xfId="0" applyNumberFormat="1" applyFont="1" applyFill="1" applyBorder="1" applyAlignment="1" applyProtection="1">
      <alignment horizontal="right"/>
    </xf>
    <xf numFmtId="166" fontId="14" fillId="10" borderId="1" xfId="0" applyNumberFormat="1" applyFont="1" applyFill="1" applyBorder="1" applyProtection="1"/>
    <xf numFmtId="0" fontId="14" fillId="8" borderId="1" xfId="0" applyFont="1" applyFill="1" applyBorder="1" applyAlignment="1" applyProtection="1">
      <alignment horizontal="center"/>
    </xf>
    <xf numFmtId="0" fontId="0" fillId="10" borderId="1" xfId="0" applyFill="1" applyBorder="1" applyProtection="1"/>
    <xf numFmtId="167" fontId="18" fillId="8" borderId="1" xfId="0" applyNumberFormat="1" applyFont="1" applyFill="1" applyBorder="1" applyAlignment="1" applyProtection="1">
      <alignment horizontal="right"/>
    </xf>
    <xf numFmtId="0" fontId="14" fillId="6" borderId="0" xfId="0" applyFont="1" applyFill="1" applyBorder="1" applyProtection="1"/>
    <xf numFmtId="0" fontId="3" fillId="3" borderId="0" xfId="0" applyFont="1" applyFill="1" applyBorder="1" applyProtection="1"/>
    <xf numFmtId="0" fontId="5" fillId="5" borderId="1" xfId="0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/>
    </xf>
    <xf numFmtId="0" fontId="18" fillId="4" borderId="1" xfId="0" applyFont="1" applyFill="1" applyBorder="1" applyProtection="1"/>
    <xf numFmtId="0" fontId="3" fillId="3" borderId="0" xfId="0" applyFont="1" applyFill="1" applyProtection="1"/>
    <xf numFmtId="0" fontId="14" fillId="4" borderId="1" xfId="0" applyFont="1" applyFill="1" applyBorder="1" applyProtection="1"/>
    <xf numFmtId="0" fontId="19" fillId="7" borderId="1" xfId="0" applyFont="1" applyFill="1" applyBorder="1" applyAlignment="1" applyProtection="1">
      <alignment vertical="top" wrapText="1"/>
    </xf>
    <xf numFmtId="0" fontId="14" fillId="4" borderId="0" xfId="0" applyFont="1" applyFill="1" applyProtection="1"/>
    <xf numFmtId="0" fontId="0" fillId="0" borderId="0" xfId="0" applyProtection="1"/>
    <xf numFmtId="0" fontId="14" fillId="4" borderId="0" xfId="0" applyFont="1" applyFill="1" applyAlignment="1" applyProtection="1">
      <alignment horizontal="right"/>
    </xf>
    <xf numFmtId="0" fontId="0" fillId="5" borderId="0" xfId="0" applyFill="1" applyProtection="1"/>
    <xf numFmtId="0" fontId="14" fillId="4" borderId="0" xfId="0" applyFont="1" applyFill="1" applyProtection="1"/>
    <xf numFmtId="0" fontId="21" fillId="4" borderId="0" xfId="0" applyFont="1" applyFill="1" applyAlignment="1" applyProtection="1">
      <alignment wrapText="1"/>
    </xf>
    <xf numFmtId="0" fontId="5" fillId="11" borderId="1" xfId="0" applyFont="1" applyFill="1" applyBorder="1" applyAlignment="1" applyProtection="1">
      <alignment horizontal="center"/>
    </xf>
    <xf numFmtId="0" fontId="5" fillId="11" borderId="1" xfId="0" applyFont="1" applyFill="1" applyBorder="1" applyAlignment="1" applyProtection="1">
      <alignment horizontal="center" wrapText="1"/>
    </xf>
    <xf numFmtId="0" fontId="10" fillId="12" borderId="1" xfId="0" applyFont="1" applyFill="1" applyBorder="1" applyAlignment="1" applyProtection="1">
      <alignment horizontal="center" wrapText="1"/>
    </xf>
    <xf numFmtId="49" fontId="16" fillId="7" borderId="1" xfId="0" applyNumberFormat="1" applyFont="1" applyFill="1" applyBorder="1" applyAlignment="1" applyProtection="1">
      <alignment horizontal="center"/>
    </xf>
    <xf numFmtId="166" fontId="18" fillId="8" borderId="1" xfId="0" applyNumberFormat="1" applyFont="1" applyFill="1" applyBorder="1" applyAlignment="1" applyProtection="1">
      <alignment horizontal="right"/>
    </xf>
    <xf numFmtId="166" fontId="23" fillId="9" borderId="1" xfId="0" applyNumberFormat="1" applyFont="1" applyFill="1" applyBorder="1" applyAlignment="1" applyProtection="1">
      <alignment horizontal="right"/>
    </xf>
    <xf numFmtId="166" fontId="18" fillId="8" borderId="1" xfId="0" applyNumberFormat="1" applyFont="1" applyFill="1" applyBorder="1" applyProtection="1"/>
    <xf numFmtId="0" fontId="5" fillId="5" borderId="1" xfId="0" applyFont="1" applyFill="1" applyBorder="1" applyAlignment="1" applyProtection="1">
      <alignment horizontal="right"/>
    </xf>
    <xf numFmtId="166" fontId="5" fillId="5" borderId="1" xfId="0" applyNumberFormat="1" applyFont="1" applyFill="1" applyBorder="1" applyAlignment="1" applyProtection="1">
      <alignment horizontal="right"/>
    </xf>
    <xf numFmtId="0" fontId="14" fillId="5" borderId="1" xfId="0" applyFont="1" applyFill="1" applyBorder="1" applyProtection="1"/>
    <xf numFmtId="166" fontId="5" fillId="5" borderId="1" xfId="0" applyNumberFormat="1" applyFont="1" applyFill="1" applyBorder="1" applyProtection="1"/>
    <xf numFmtId="0" fontId="18" fillId="8" borderId="0" xfId="0" applyFont="1" applyFill="1" applyProtection="1"/>
    <xf numFmtId="166" fontId="18" fillId="8" borderId="0" xfId="0" applyNumberFormat="1" applyFont="1" applyFill="1" applyProtection="1"/>
    <xf numFmtId="167" fontId="18" fillId="8" borderId="0" xfId="0" applyNumberFormat="1" applyFont="1" applyFill="1" applyProtection="1"/>
    <xf numFmtId="0" fontId="18" fillId="8" borderId="0" xfId="0" applyFont="1" applyFill="1" applyAlignment="1" applyProtection="1">
      <alignment horizontal="center"/>
    </xf>
    <xf numFmtId="0" fontId="14" fillId="10" borderId="0" xfId="0" applyFont="1" applyFill="1" applyProtection="1"/>
    <xf numFmtId="166" fontId="14" fillId="10" borderId="0" xfId="0" applyNumberFormat="1" applyFont="1" applyFill="1" applyProtection="1"/>
    <xf numFmtId="166" fontId="18" fillId="8" borderId="0" xfId="0" applyNumberFormat="1" applyFont="1" applyFill="1" applyAlignment="1" applyProtection="1">
      <alignment horizontal="center"/>
    </xf>
    <xf numFmtId="167" fontId="18" fillId="8" borderId="0" xfId="0" applyNumberFormat="1" applyFont="1" applyFill="1" applyAlignment="1" applyProtection="1">
      <alignment horizontal="center"/>
    </xf>
    <xf numFmtId="0" fontId="14" fillId="8" borderId="0" xfId="0" applyFont="1" applyFill="1" applyProtection="1"/>
    <xf numFmtId="0" fontId="14" fillId="8" borderId="0" xfId="0" applyFont="1" applyFill="1" applyAlignment="1" applyProtection="1">
      <alignment horizontal="center"/>
    </xf>
    <xf numFmtId="0" fontId="12" fillId="5" borderId="0" xfId="0" applyFont="1" applyFill="1" applyProtection="1"/>
    <xf numFmtId="0" fontId="8" fillId="0" borderId="0" xfId="0" applyFont="1" applyProtection="1"/>
    <xf numFmtId="0" fontId="22" fillId="6" borderId="0" xfId="0" applyFont="1" applyFill="1" applyProtection="1"/>
    <xf numFmtId="0" fontId="11" fillId="0" borderId="0" xfId="0" applyFont="1" applyProtection="1"/>
    <xf numFmtId="0" fontId="16" fillId="7" borderId="1" xfId="0" applyFont="1" applyFill="1" applyBorder="1" applyProtection="1">
      <protection locked="0"/>
    </xf>
    <xf numFmtId="0" fontId="16" fillId="7" borderId="1" xfId="0" applyFont="1" applyFill="1" applyBorder="1" applyAlignment="1" applyProtection="1">
      <alignment horizontal="left"/>
      <protection locked="0"/>
    </xf>
    <xf numFmtId="166" fontId="16" fillId="7" borderId="1" xfId="0" applyNumberFormat="1" applyFont="1" applyFill="1" applyBorder="1" applyAlignment="1" applyProtection="1">
      <alignment horizontal="left"/>
      <protection locked="0"/>
    </xf>
    <xf numFmtId="166" fontId="16" fillId="7" borderId="1" xfId="0" applyNumberFormat="1" applyFont="1" applyFill="1" applyBorder="1" applyAlignment="1" applyProtection="1">
      <alignment horizontal="right"/>
      <protection locked="0"/>
    </xf>
    <xf numFmtId="0" fontId="20" fillId="7" borderId="1" xfId="0" applyFont="1" applyFill="1" applyBorder="1" applyAlignment="1" applyProtection="1">
      <alignment horizontal="center"/>
      <protection locked="0"/>
    </xf>
    <xf numFmtId="0" fontId="16" fillId="7" borderId="1" xfId="0" applyFont="1" applyFill="1" applyBorder="1" applyProtection="1">
      <protection locked="0"/>
    </xf>
    <xf numFmtId="0" fontId="14" fillId="4" borderId="1" xfId="0" applyFont="1" applyFill="1" applyBorder="1" applyProtection="1">
      <protection locked="0"/>
    </xf>
    <xf numFmtId="0" fontId="19" fillId="7" borderId="1" xfId="0" applyFont="1" applyFill="1" applyBorder="1" applyAlignment="1" applyProtection="1">
      <alignment vertical="top" wrapText="1"/>
      <protection locked="0"/>
    </xf>
    <xf numFmtId="0" fontId="14" fillId="4" borderId="0" xfId="0" applyFont="1" applyFill="1" applyProtection="1">
      <protection locked="0"/>
    </xf>
    <xf numFmtId="0" fontId="0" fillId="0" borderId="0" xfId="0" applyProtection="1">
      <protection locked="0"/>
    </xf>
    <xf numFmtId="0" fontId="20" fillId="7" borderId="0" xfId="0" applyFont="1" applyFill="1" applyAlignment="1" applyProtection="1">
      <alignment horizontal="center"/>
      <protection locked="0"/>
    </xf>
    <xf numFmtId="0" fontId="16" fillId="7" borderId="1" xfId="0" applyFont="1" applyFill="1" applyBorder="1" applyAlignment="1" applyProtection="1">
      <alignment horizontal="center"/>
      <protection locked="0"/>
    </xf>
    <xf numFmtId="166" fontId="23" fillId="9" borderId="1" xfId="0" applyNumberFormat="1" applyFont="1" applyFill="1" applyBorder="1" applyAlignment="1" applyProtection="1">
      <alignment horizontal="right"/>
      <protection locked="0"/>
    </xf>
    <xf numFmtId="166" fontId="16" fillId="7" borderId="1" xfId="0" applyNumberFormat="1" applyFont="1" applyFill="1" applyBorder="1" applyProtection="1">
      <protection locked="0"/>
    </xf>
    <xf numFmtId="0" fontId="20" fillId="7" borderId="1" xfId="0" applyFont="1" applyFill="1" applyBorder="1" applyAlignment="1" applyProtection="1">
      <alignment horizontal="left"/>
      <protection locked="0"/>
    </xf>
    <xf numFmtId="166" fontId="20" fillId="7" borderId="1" xfId="0" applyNumberFormat="1" applyFont="1" applyFill="1" applyBorder="1" applyAlignment="1" applyProtection="1">
      <alignment horizontal="left"/>
      <protection locked="0"/>
    </xf>
    <xf numFmtId="0" fontId="20" fillId="7" borderId="1" xfId="0" applyFont="1" applyFill="1" applyBorder="1" applyAlignment="1" applyProtection="1">
      <alignment horizontal="left"/>
    </xf>
    <xf numFmtId="166" fontId="20" fillId="7" borderId="1" xfId="0" applyNumberFormat="1" applyFont="1" applyFill="1" applyBorder="1" applyAlignment="1" applyProtection="1">
      <alignment horizontal="left"/>
    </xf>
    <xf numFmtId="0" fontId="5" fillId="12" borderId="0" xfId="0" applyFont="1" applyFill="1" applyAlignment="1" applyProtection="1">
      <alignment horizontal="left"/>
    </xf>
    <xf numFmtId="0" fontId="17" fillId="0" borderId="0" xfId="0" applyFont="1" applyProtection="1"/>
    <xf numFmtId="0" fontId="15" fillId="0" borderId="0" xfId="0" applyFont="1" applyProtection="1"/>
  </cellXfs>
  <cellStyles count="1">
    <cellStyle name="Normal" xfId="0" builtinId="0"/>
  </cellStyles>
  <dxfs count="62">
    <dxf>
      <font>
        <color rgb="FFBFBFBF"/>
      </font>
      <fill>
        <patternFill patternType="solid">
          <fgColor indexed="64"/>
          <bgColor rgb="FFF2F2F2"/>
        </patternFill>
      </fill>
    </dxf>
    <dxf>
      <font>
        <color rgb="FFBFBFBF"/>
      </font>
      <fill>
        <patternFill patternType="solid">
          <fgColor indexed="64"/>
          <bgColor rgb="FFF2F2F2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  <dxf>
      <font>
        <color rgb="FFBFBFBF"/>
      </font>
      <fill>
        <patternFill patternType="solid">
          <fgColor indexed="64"/>
          <bgColor rgb="FFBFBFBF"/>
        </patternFill>
      </fill>
      <border>
        <left style="thin">
          <color auto="1"/>
        </left>
        <right style="thin">
          <color auto="1"/>
        </right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rgbClr val="2C3E50"/>
                </a:solidFill>
                <a:effectLst/>
                <a:latin typeface="Aptos Narrow"/>
                <a:ea typeface="Aptos Narrow"/>
                <a:cs typeface="Aptos Narrow"/>
              </a:defRPr>
            </a:pPr>
            <a:r>
              <a:rPr lang="en-US"/>
              <a:t>Total Price by Offeror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rgbClr val="2C3E50"/>
              </a:solidFill>
              <a:effectLst/>
              <a:latin typeface="Aptos Narrow"/>
              <a:ea typeface="Aptos Narrow"/>
              <a:cs typeface="Aptos Narrow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Charts!$D$2</c:f>
              <c:strCache>
                <c:ptCount val="1"/>
                <c:pt idx="0">
                  <c:v>Total Price</c:v>
                </c:pt>
              </c:strCache>
            </c:strRef>
          </c:tx>
          <c:spPr>
            <a:solidFill>
              <a:srgbClr val="34495E"/>
            </a:soli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Charts!$C$3:$C$13</c:f>
              <c:strCache>
                <c:ptCount val="11"/>
                <c:pt idx="10">
                  <c:v>IGE</c:v>
                </c:pt>
              </c:strCache>
            </c:strRef>
          </c:cat>
          <c:val>
            <c:numRef>
              <c:f>Charts!$D$3:$D$13</c:f>
              <c:numCache>
                <c:formatCode>General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EC-41F6-B443-C8A719574EF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540314464"/>
        <c:axId val="1647340688"/>
      </c:barChart>
      <c:catAx>
        <c:axId val="15403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effectLst/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647340688"/>
        <c:crosses val="autoZero"/>
        <c:auto val="1"/>
        <c:lblAlgn val="ctr"/>
        <c:lblOffset val="100"/>
        <c:noMultiLvlLbl val="0"/>
      </c:catAx>
      <c:valAx>
        <c:axId val="16473406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40314464"/>
        <c:crosses val="autoZero"/>
        <c:crossBetween val="between"/>
      </c:valAx>
      <c:spPr>
        <a:solidFill>
          <a:srgbClr val="FFFFFF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rgbClr val="D5D8DC"/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100" baseline="0">
                <a:solidFill>
                  <a:srgbClr val="2C3E50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Aptos Narrow"/>
                <a:ea typeface="Aptos Narrow"/>
                <a:cs typeface="Aptos Narrow"/>
              </a:defRPr>
            </a:pPr>
            <a:r>
              <a:rPr lang="en-US"/>
              <a:t>% vs IGE by Offeror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100" baseline="0">
              <a:solidFill>
                <a:srgbClr val="2C3E50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Aptos Narrow"/>
              <a:ea typeface="Aptos Narrow"/>
              <a:cs typeface="Aptos Narrow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Charts!$D$29</c:f>
              <c:strCache>
                <c:ptCount val="1"/>
                <c:pt idx="0">
                  <c:v>% vs IGE</c:v>
                </c:pt>
              </c:strCache>
            </c:strRef>
          </c:tx>
          <c:spPr>
            <a:solidFill>
              <a:srgbClr val="34495E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Charts!$C$30:$C$39</c:f>
            </c:strRef>
          </c:cat>
          <c:val>
            <c:numRef>
              <c:f>Charts!$D$30:$D$39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6B-4A8A-BCE4-8B422D1837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647339248"/>
        <c:axId val="1647338768"/>
      </c:barChart>
      <c:catAx>
        <c:axId val="16473392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647338768"/>
        <c:crosses val="autoZero"/>
        <c:auto val="1"/>
        <c:lblAlgn val="ctr"/>
        <c:lblOffset val="100"/>
        <c:noMultiLvlLbl val="0"/>
      </c:catAx>
      <c:valAx>
        <c:axId val="1647338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647339248"/>
        <c:crosses val="autoZero"/>
        <c:crossBetween val="between"/>
      </c:valAx>
      <c:spPr>
        <a:solidFill>
          <a:srgbClr val="FFFFFF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>
      <a:solidFill>
        <a:srgbClr val="D5D8DC"/>
      </a:solidFill>
      <a:prstDash val="solid"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100" baseline="0">
                <a:solidFill>
                  <a:srgbClr val="2C3E50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Aptos Narrow"/>
                <a:ea typeface="Aptos Narrow"/>
                <a:cs typeface="Aptos Narrow"/>
              </a:defRPr>
            </a:pPr>
            <a:r>
              <a:rPr lang="en-US"/>
              <a:t>IGE Variance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100" baseline="0">
              <a:solidFill>
                <a:srgbClr val="2C3E50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Aptos Narrow"/>
              <a:ea typeface="Aptos Narrow"/>
              <a:cs typeface="Aptos Narrow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Charts!$D$52</c:f>
              <c:strCache>
                <c:ptCount val="1"/>
                <c:pt idx="0">
                  <c:v># Offerors</c:v>
                </c:pt>
              </c:strCache>
            </c:strRef>
          </c:tx>
          <c:dPt>
            <c:idx val="0"/>
            <c:bubble3D val="0"/>
            <c:spPr>
              <a:solidFill>
                <a:srgbClr val="16A085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E11-4DEA-8296-ABFB173C8316}"/>
              </c:ext>
            </c:extLst>
          </c:dPt>
          <c:dPt>
            <c:idx val="1"/>
            <c:bubble3D val="0"/>
            <c:spPr>
              <a:solidFill>
                <a:srgbClr val="F1C40F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EE11-4DEA-8296-ABFB173C8316}"/>
              </c:ext>
            </c:extLst>
          </c:dPt>
          <c:dPt>
            <c:idx val="2"/>
            <c:bubble3D val="0"/>
            <c:spPr>
              <a:solidFill>
                <a:srgbClr val="E74C3C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E11-4DEA-8296-ABFB173C8316}"/>
              </c:ext>
            </c:extLst>
          </c:dPt>
          <c:dPt>
            <c:idx val="3"/>
            <c:bubble3D val="0"/>
            <c:spPr>
              <a:solidFill>
                <a:srgbClr val="3498DB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EE11-4DEA-8296-ABFB173C83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Charts!$C$53:$C$56</c:f>
              <c:strCache>
                <c:ptCount val="4"/>
                <c:pt idx="0">
                  <c:v>Within ±10%</c:v>
                </c:pt>
                <c:pt idx="1">
                  <c:v>±10–25%</c:v>
                </c:pt>
                <c:pt idx="2">
                  <c:v>&gt;25% Above IGE</c:v>
                </c:pt>
                <c:pt idx="3">
                  <c:v>&gt;25% Below IGE</c:v>
                </c:pt>
              </c:strCache>
            </c:strRef>
          </c:cat>
          <c:val>
            <c:numRef>
              <c:f>Charts!$D$53:$D$56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1-4DEA-8296-ABFB173C83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FFFFFF"/>
        </a:solidFill>
        <a:ln>
          <a:noFill/>
        </a:ln>
        <a:effectLst/>
      </c:spPr>
    </c:plotArea>
    <c:legend>
      <c:legendPos val="b"/>
      <c:overlay val="0"/>
      <c:spPr>
        <a:solidFill>
          <a:srgbClr val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2C3E50"/>
              </a:solidFill>
              <a:latin typeface="Aptos Narrow"/>
              <a:ea typeface="Aptos Narrow"/>
              <a:cs typeface="Aptos Narrow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>
      <a:solidFill>
        <a:srgbClr val="D5D8DC"/>
      </a:solidFill>
      <a:prstDash val="solid"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100" baseline="0">
                <a:solidFill>
                  <a:srgbClr val="2C3E50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Aptos Narrow"/>
                <a:ea typeface="Aptos Narrow"/>
                <a:cs typeface="Aptos Narrow"/>
              </a:defRPr>
            </a:pPr>
            <a:r>
              <a:rPr lang="en-US"/>
              <a:t>Offerors Ranked by Total Price (Lowest at Top)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100" baseline="0">
              <a:solidFill>
                <a:srgbClr val="2C3E50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Aptos Narrow"/>
              <a:ea typeface="Aptos Narrow"/>
              <a:cs typeface="Aptos Narrow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Charts!$D$74</c:f>
              <c:strCache>
                <c:ptCount val="1"/>
                <c:pt idx="0">
                  <c:v>Total Price</c:v>
                </c:pt>
              </c:strCache>
            </c:strRef>
          </c:tx>
          <c:spPr>
            <a:solidFill>
              <a:srgbClr val="34495E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Charts!$C$75:$C$84</c:f>
            </c:strRef>
          </c:cat>
          <c:val>
            <c:numRef>
              <c:f>Charts!$D$75:$D$84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02-46D9-9383-3C0C162152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572195392"/>
        <c:axId val="1572194912"/>
      </c:barChart>
      <c:catAx>
        <c:axId val="15721953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572194912"/>
        <c:crosses val="autoZero"/>
        <c:auto val="1"/>
        <c:lblAlgn val="ctr"/>
        <c:lblOffset val="100"/>
        <c:noMultiLvlLbl val="0"/>
      </c:catAx>
      <c:valAx>
        <c:axId val="15721949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572195392"/>
        <c:crosses val="autoZero"/>
        <c:crossBetween val="between"/>
      </c:valAx>
      <c:spPr>
        <a:solidFill>
          <a:srgbClr val="FFFFFF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>
      <a:solidFill>
        <a:srgbClr val="D5D8DC"/>
      </a:solidFill>
      <a:prstDash val="solid"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rgbClr val="2C3E50"/>
                </a:solidFill>
                <a:effectLst/>
                <a:latin typeface="Aptos Narrow"/>
                <a:ea typeface="Aptos Narrow"/>
                <a:cs typeface="Aptos Narrow"/>
              </a:defRPr>
            </a:pPr>
            <a:r>
              <a:rPr lang="en-US"/>
              <a:t>Apparent Low vs. 2nd Low vs. IGE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rgbClr val="2C3E50"/>
              </a:solidFill>
              <a:effectLst/>
              <a:latin typeface="Aptos Narrow"/>
              <a:ea typeface="Aptos Narrow"/>
              <a:cs typeface="Aptos Narrow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Charts!$Q$6</c:f>
              <c:strCache>
                <c:ptCount val="1"/>
                <c:pt idx="0">
                  <c:v>Total Price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16A085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FAA-45D8-BB7D-536F2E56D2D3}"/>
              </c:ext>
            </c:extLst>
          </c:dPt>
          <c:dPt>
            <c:idx val="1"/>
            <c:invertIfNegative val="0"/>
            <c:bubble3D val="0"/>
            <c:spPr>
              <a:solidFill>
                <a:srgbClr val="E67E22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0FAA-45D8-BB7D-536F2E56D2D3}"/>
              </c:ext>
            </c:extLst>
          </c:dPt>
          <c:dPt>
            <c:idx val="2"/>
            <c:invertIfNegative val="0"/>
            <c:bubble3D val="0"/>
            <c:spPr>
              <a:solidFill>
                <a:srgbClr val="7F8C8D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FAA-45D8-BB7D-536F2E56D2D3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Charts!$P$7:$P$9</c:f>
              <c:strCache>
                <c:ptCount val="3"/>
                <c:pt idx="0">
                  <c:v>(no offers)</c:v>
                </c:pt>
                <c:pt idx="1">
                  <c:v>(only 1 offer)</c:v>
                </c:pt>
                <c:pt idx="2">
                  <c:v>IGE</c:v>
                </c:pt>
              </c:strCache>
            </c:strRef>
          </c:cat>
          <c:val>
            <c:numRef>
              <c:f>Charts!$Q$7:$Q$9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AA-45D8-BB7D-536F2E56D2D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928739696"/>
        <c:axId val="928738736"/>
      </c:barChart>
      <c:catAx>
        <c:axId val="92873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effectLst/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928738736"/>
        <c:crosses val="autoZero"/>
        <c:auto val="1"/>
        <c:lblAlgn val="ctr"/>
        <c:lblOffset val="100"/>
        <c:noMultiLvlLbl val="0"/>
      </c:catAx>
      <c:valAx>
        <c:axId val="92873873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28739696"/>
        <c:crosses val="autoZero"/>
        <c:crossBetween val="between"/>
      </c:valAx>
      <c:spPr>
        <a:solidFill>
          <a:srgbClr val="FFFFFF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rgbClr val="D5D8DC"/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rgbClr val="2C3E50"/>
                </a:solidFill>
                <a:effectLst/>
                <a:latin typeface="Aptos Narrow"/>
                <a:ea typeface="Aptos Narrow"/>
                <a:cs typeface="Aptos Narrow"/>
              </a:defRPr>
            </a:pPr>
            <a:r>
              <a:rPr lang="en-US"/>
              <a:t>Price Distribution vs. IGE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rgbClr val="2C3E50"/>
              </a:solidFill>
              <a:effectLst/>
              <a:latin typeface="Aptos Narrow"/>
              <a:ea typeface="Aptos Narrow"/>
              <a:cs typeface="Aptos Narrow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Charts!$Q$26</c:f>
              <c:strCache>
                <c:ptCount val="1"/>
                <c:pt idx="0">
                  <c:v>Price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16A085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D4B-4E22-BA28-EE3ABDC71979}"/>
              </c:ext>
            </c:extLst>
          </c:dPt>
          <c:dPt>
            <c:idx val="1"/>
            <c:invertIfNegative val="0"/>
            <c:bubble3D val="0"/>
            <c:spPr>
              <a:solidFill>
                <a:srgbClr val="34495E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1D4B-4E22-BA28-EE3ABDC71979}"/>
              </c:ext>
            </c:extLst>
          </c:dPt>
          <c:dPt>
            <c:idx val="2"/>
            <c:invertIfNegative val="0"/>
            <c:bubble3D val="0"/>
            <c:spPr>
              <a:solidFill>
                <a:srgbClr val="34495E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D4B-4E22-BA28-EE3ABDC71979}"/>
              </c:ext>
            </c:extLst>
          </c:dPt>
          <c:dPt>
            <c:idx val="3"/>
            <c:invertIfNegative val="0"/>
            <c:bubble3D val="0"/>
            <c:spPr>
              <a:solidFill>
                <a:srgbClr val="E67E22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1D4B-4E22-BA28-EE3ABDC71979}"/>
              </c:ext>
            </c:extLst>
          </c:dPt>
          <c:dPt>
            <c:idx val="4"/>
            <c:invertIfNegative val="0"/>
            <c:bubble3D val="0"/>
            <c:spPr>
              <a:solidFill>
                <a:srgbClr val="7F8C8D"/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D4B-4E22-BA28-EE3ABDC71979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Charts!$P$27:$P$31</c:f>
              <c:strCache>
                <c:ptCount val="5"/>
                <c:pt idx="0">
                  <c:v>Min Offer</c:v>
                </c:pt>
                <c:pt idx="1">
                  <c:v>Mean Offer</c:v>
                </c:pt>
                <c:pt idx="2">
                  <c:v>Median Offer</c:v>
                </c:pt>
                <c:pt idx="3">
                  <c:v>Max Offer</c:v>
                </c:pt>
                <c:pt idx="4">
                  <c:v>IGE</c:v>
                </c:pt>
              </c:strCache>
            </c:strRef>
          </c:cat>
          <c:val>
            <c:numRef>
              <c:f>Charts!$Q$27:$Q$31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4B-4E22-BA28-EE3ABDC7197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270306992"/>
        <c:axId val="1813881904"/>
      </c:barChart>
      <c:catAx>
        <c:axId val="127030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effectLst/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813881904"/>
        <c:crosses val="autoZero"/>
        <c:auto val="1"/>
        <c:lblAlgn val="ctr"/>
        <c:lblOffset val="100"/>
        <c:noMultiLvlLbl val="0"/>
      </c:catAx>
      <c:valAx>
        <c:axId val="181388190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270306992"/>
        <c:crosses val="autoZero"/>
        <c:crossBetween val="between"/>
      </c:valAx>
      <c:spPr>
        <a:solidFill>
          <a:srgbClr val="FFFFFF"/>
        </a:solid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rgbClr val="D5D8DC"/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100" baseline="0">
                <a:solidFill>
                  <a:srgbClr val="2C3E50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Aptos Narrow"/>
                <a:ea typeface="Aptos Narrow"/>
                <a:cs typeface="Aptos Narrow"/>
              </a:defRPr>
            </a:pPr>
            <a:r>
              <a:rPr lang="en-US"/>
              <a:t>Offeror Prices vs. IGE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100" baseline="0">
              <a:solidFill>
                <a:srgbClr val="2C3E50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Aptos Narrow"/>
              <a:ea typeface="Aptos Narrow"/>
              <a:cs typeface="Aptos Narrow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Charts!$Q$47</c:f>
              <c:strCache>
                <c:ptCount val="1"/>
                <c:pt idx="0">
                  <c:v>Offer Price</c:v>
                </c:pt>
              </c:strCache>
            </c:strRef>
          </c:tx>
          <c:spPr>
            <a:solidFill>
              <a:srgbClr val="34495E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Charts!$P$48:$P$57</c:f>
            </c:strRef>
          </c:cat>
          <c:val>
            <c:numRef>
              <c:f>Charts!$Q$48:$Q$57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6F-482B-BC29-DAFADD5E2DEA}"/>
            </c:ext>
          </c:extLst>
        </c:ser>
        <c:ser>
          <c:idx val="1"/>
          <c:order val="1"/>
          <c:tx>
            <c:strRef>
              <c:f>Charts!$R$47</c:f>
              <c:strCache>
                <c:ptCount val="1"/>
                <c:pt idx="0">
                  <c:v>IGE</c:v>
                </c:pt>
              </c:strCache>
            </c:strRef>
          </c:tx>
          <c:spPr>
            <a:solidFill>
              <a:srgbClr val="7F8C8D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FFFFFF"/>
                    </a:solidFill>
                    <a:latin typeface="Aptos Narrow"/>
                    <a:ea typeface="Aptos Narrow"/>
                    <a:cs typeface="Aptos Narrow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Charts!$P$48:$P$57</c:f>
            </c:strRef>
          </c:cat>
          <c:val>
            <c:numRef>
              <c:f>Charts!$R$48:$R$57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6F-482B-BC29-DAFADD5E2D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813883824"/>
        <c:axId val="1813884304"/>
      </c:barChart>
      <c:catAx>
        <c:axId val="181388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813884304"/>
        <c:crosses val="autoZero"/>
        <c:auto val="1"/>
        <c:lblAlgn val="ctr"/>
        <c:lblOffset val="100"/>
        <c:noMultiLvlLbl val="0"/>
      </c:catAx>
      <c:valAx>
        <c:axId val="181388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rgbClr val="2C3E50"/>
                </a:solidFill>
                <a:latin typeface="Aptos Narrow"/>
                <a:ea typeface="Aptos Narrow"/>
                <a:cs typeface="Aptos Narrow"/>
              </a:defRPr>
            </a:pPr>
            <a:endParaRPr lang="en-US"/>
          </a:p>
        </c:txPr>
        <c:crossAx val="1813883824"/>
        <c:crosses val="autoZero"/>
        <c:crossBetween val="between"/>
      </c:valAx>
      <c:spPr>
        <a:solidFill>
          <a:srgbClr val="FFFFFF"/>
        </a:solidFill>
        <a:ln>
          <a:noFill/>
        </a:ln>
        <a:effectLst/>
      </c:spPr>
    </c:plotArea>
    <c:legend>
      <c:legendPos val="b"/>
      <c:overlay val="0"/>
      <c:spPr>
        <a:solidFill>
          <a:srgbClr val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rgbClr val="2C3E50"/>
              </a:solidFill>
              <a:latin typeface="Aptos Narrow"/>
              <a:ea typeface="Aptos Narrow"/>
              <a:cs typeface="Aptos Narrow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>
      <a:solidFill>
        <a:srgbClr val="D5D8DC"/>
      </a:solidFill>
      <a:prstDash val="solid"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</xdr:colOff>
      <xdr:row>6</xdr:row>
      <xdr:rowOff>43180</xdr:rowOff>
    </xdr:from>
    <xdr:to>
      <xdr:col>2</xdr:col>
      <xdr:colOff>30480</xdr:colOff>
      <xdr:row>25</xdr:row>
      <xdr:rowOff>124460</xdr:rowOff>
    </xdr:to>
    <xdr:graphicFrame macro="">
      <xdr:nvGraphicFramePr>
        <xdr:cNvPr id="12" name="ch_totalPrice">
          <a:extLst>
            <a:ext uri="{FF2B5EF4-FFF2-40B4-BE49-F238E27FC236}">
              <a16:creationId xmlns:a16="http://schemas.microsoft.com/office/drawing/2014/main" id="{D19A4B46-BF6F-91B8-CD1C-CAA1F7275E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2540</xdr:colOff>
      <xdr:row>28</xdr:row>
      <xdr:rowOff>68580</xdr:rowOff>
    </xdr:from>
    <xdr:to>
      <xdr:col>2</xdr:col>
      <xdr:colOff>53340</xdr:colOff>
      <xdr:row>47</xdr:row>
      <xdr:rowOff>134620</xdr:rowOff>
    </xdr:to>
    <xdr:graphicFrame macro="">
      <xdr:nvGraphicFramePr>
        <xdr:cNvPr id="13" name="ch_pctVsIGE">
          <a:extLst>
            <a:ext uri="{FF2B5EF4-FFF2-40B4-BE49-F238E27FC236}">
              <a16:creationId xmlns:a16="http://schemas.microsoft.com/office/drawing/2014/main" id="{3C86475A-5465-FFE5-8E02-017BADF42E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2540</xdr:colOff>
      <xdr:row>50</xdr:row>
      <xdr:rowOff>93980</xdr:rowOff>
    </xdr:from>
    <xdr:to>
      <xdr:col>2</xdr:col>
      <xdr:colOff>60960</xdr:colOff>
      <xdr:row>69</xdr:row>
      <xdr:rowOff>160020</xdr:rowOff>
    </xdr:to>
    <xdr:graphicFrame macro="">
      <xdr:nvGraphicFramePr>
        <xdr:cNvPr id="14" name="ch_igePie">
          <a:extLst>
            <a:ext uri="{FF2B5EF4-FFF2-40B4-BE49-F238E27FC236}">
              <a16:creationId xmlns:a16="http://schemas.microsoft.com/office/drawing/2014/main" id="{F6A0853E-2FC3-D1E4-8EDC-23C73B38A8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2540</xdr:colOff>
      <xdr:row>72</xdr:row>
      <xdr:rowOff>119380</xdr:rowOff>
    </xdr:from>
    <xdr:to>
      <xdr:col>2</xdr:col>
      <xdr:colOff>99060</xdr:colOff>
      <xdr:row>92</xdr:row>
      <xdr:rowOff>17780</xdr:rowOff>
    </xdr:to>
    <xdr:graphicFrame macro="">
      <xdr:nvGraphicFramePr>
        <xdr:cNvPr id="15" name="ch_rank">
          <a:extLst>
            <a:ext uri="{FF2B5EF4-FFF2-40B4-BE49-F238E27FC236}">
              <a16:creationId xmlns:a16="http://schemas.microsoft.com/office/drawing/2014/main" id="{DD041324-7B32-0FB3-EAC5-B3A35DE3AB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510540</xdr:colOff>
      <xdr:row>6</xdr:row>
      <xdr:rowOff>43180</xdr:rowOff>
    </xdr:from>
    <xdr:to>
      <xdr:col>14</xdr:col>
      <xdr:colOff>256540</xdr:colOff>
      <xdr:row>25</xdr:row>
      <xdr:rowOff>124460</xdr:rowOff>
    </xdr:to>
    <xdr:graphicFrame macro="">
      <xdr:nvGraphicFramePr>
        <xdr:cNvPr id="16" name="ch_lowVsIGE">
          <a:extLst>
            <a:ext uri="{FF2B5EF4-FFF2-40B4-BE49-F238E27FC236}">
              <a16:creationId xmlns:a16="http://schemas.microsoft.com/office/drawing/2014/main" id="{87F9F0FA-7AE5-02FF-7A20-4AA1402B0A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510540</xdr:colOff>
      <xdr:row>28</xdr:row>
      <xdr:rowOff>38100</xdr:rowOff>
    </xdr:from>
    <xdr:to>
      <xdr:col>14</xdr:col>
      <xdr:colOff>256540</xdr:colOff>
      <xdr:row>47</xdr:row>
      <xdr:rowOff>104140</xdr:rowOff>
    </xdr:to>
    <xdr:graphicFrame macro="">
      <xdr:nvGraphicFramePr>
        <xdr:cNvPr id="17" name="ch_distribution">
          <a:extLst>
            <a:ext uri="{FF2B5EF4-FFF2-40B4-BE49-F238E27FC236}">
              <a16:creationId xmlns:a16="http://schemas.microsoft.com/office/drawing/2014/main" id="{5D890504-DDC9-B11D-4ED8-974E8A99E1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510540</xdr:colOff>
      <xdr:row>50</xdr:row>
      <xdr:rowOff>48260</xdr:rowOff>
    </xdr:from>
    <xdr:to>
      <xdr:col>14</xdr:col>
      <xdr:colOff>256540</xdr:colOff>
      <xdr:row>69</xdr:row>
      <xdr:rowOff>99060</xdr:rowOff>
    </xdr:to>
    <xdr:graphicFrame macro="">
      <xdr:nvGraphicFramePr>
        <xdr:cNvPr id="18" name="ch_offerorVsIGE">
          <a:extLst>
            <a:ext uri="{FF2B5EF4-FFF2-40B4-BE49-F238E27FC236}">
              <a16:creationId xmlns:a16="http://schemas.microsoft.com/office/drawing/2014/main" id="{7A168610-91AF-5AE1-0CCC-750CD6A329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0A12AE8-50AD-40D7-9EDD-242CD9AE8695}">
  <we:reference id="wa200009404" version="1.0.0.8" store="en-US" storeType="OMEX"/>
  <we:alternateReferences>
    <we:reference id="wa200009404" version="1.0.0.8" store="en-US" storeType="OMEX"/>
  </we:alternateReferences>
  <we:properties>
    <we:property name="claude.fileId" value="&quot;5013912b-cd76-46e1-8d17-a093ee46aa91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1E545-0D51-4627-AD3B-2103BD03CED3}">
  <sheetPr>
    <pageSetUpPr fitToPage="1"/>
  </sheetPr>
  <dimension ref="A1:Z72"/>
  <sheetViews>
    <sheetView tabSelected="1" workbookViewId="0">
      <pane ySplit="4" topLeftCell="A5" activePane="bottomLeft" state="frozen"/>
      <selection pane="bottomLeft" activeCell="C45" sqref="C45"/>
    </sheetView>
  </sheetViews>
  <sheetFormatPr defaultRowHeight="14.4" x14ac:dyDescent="0.3"/>
  <cols>
    <col min="1" max="1" width="37.109375" style="3" bestFit="1" customWidth="1"/>
    <col min="2" max="2" width="25.88671875" style="3" customWidth="1"/>
    <col min="3" max="4" width="10.21875" style="3" customWidth="1"/>
    <col min="5" max="5" width="14.77734375" style="3" customWidth="1"/>
    <col min="6" max="6" width="16.6640625" style="3" customWidth="1"/>
    <col min="7" max="7" width="14.77734375" style="3" customWidth="1"/>
    <col min="8" max="8" width="16.6640625" style="3" customWidth="1"/>
    <col min="9" max="9" width="14.77734375" style="3" customWidth="1"/>
    <col min="10" max="10" width="16.6640625" style="3" customWidth="1"/>
    <col min="11" max="11" width="14.77734375" style="3" customWidth="1"/>
    <col min="12" max="12" width="16.6640625" style="3" customWidth="1"/>
    <col min="13" max="13" width="14.77734375" style="3" customWidth="1"/>
    <col min="14" max="14" width="16.6640625" style="3" customWidth="1"/>
    <col min="15" max="15" width="14.77734375" style="3" customWidth="1"/>
    <col min="16" max="16" width="16.6640625" style="3" customWidth="1"/>
    <col min="17" max="17" width="14.77734375" style="3" customWidth="1"/>
    <col min="18" max="18" width="16.6640625" style="3" customWidth="1"/>
    <col min="19" max="19" width="14.77734375" style="3" customWidth="1"/>
    <col min="20" max="20" width="16.6640625" style="3" customWidth="1"/>
    <col min="21" max="21" width="14.77734375" style="3" customWidth="1"/>
    <col min="22" max="22" width="16.6640625" style="3" customWidth="1"/>
    <col min="23" max="23" width="14.77734375" style="3" customWidth="1"/>
    <col min="24" max="24" width="16.6640625" style="3" customWidth="1"/>
    <col min="25" max="25" width="14.77734375" style="3" customWidth="1"/>
    <col min="26" max="26" width="16.6640625" style="3" customWidth="1"/>
    <col min="27" max="16384" width="8.88671875" style="3"/>
  </cols>
  <sheetData>
    <row r="1" spans="1:26" ht="28.05" customHeight="1" x14ac:dyDescent="0.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.95" customHeight="1" x14ac:dyDescent="0.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pans="1:26" ht="22.05" customHeight="1" x14ac:dyDescent="0.3">
      <c r="A4" s="7" t="s">
        <v>44</v>
      </c>
      <c r="B4" s="7"/>
      <c r="C4" s="8"/>
      <c r="D4" s="8"/>
      <c r="E4" s="8"/>
      <c r="F4" s="8"/>
      <c r="G4" s="8"/>
      <c r="H4" s="8"/>
      <c r="I4" s="8"/>
      <c r="J4" s="8"/>
      <c r="K4" s="8"/>
      <c r="L4" s="8"/>
    </row>
    <row r="5" spans="1:26" ht="45" customHeight="1" x14ac:dyDescent="0.3">
      <c r="A5" s="9" t="s">
        <v>45</v>
      </c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</row>
    <row r="6" spans="1:26" x14ac:dyDescent="0.3">
      <c r="A6" s="11" t="s">
        <v>46</v>
      </c>
      <c r="B6" s="11" t="s">
        <v>47</v>
      </c>
    </row>
    <row r="7" spans="1:26" x14ac:dyDescent="0.3">
      <c r="A7" s="12" t="s">
        <v>48</v>
      </c>
      <c r="B7" s="71"/>
    </row>
    <row r="8" spans="1:26" x14ac:dyDescent="0.3">
      <c r="A8" s="12" t="s">
        <v>49</v>
      </c>
      <c r="B8" s="71"/>
    </row>
    <row r="9" spans="1:26" x14ac:dyDescent="0.3">
      <c r="A9" s="12" t="s">
        <v>50</v>
      </c>
      <c r="B9" s="71"/>
    </row>
    <row r="10" spans="1:26" x14ac:dyDescent="0.3">
      <c r="A10" s="12" t="s">
        <v>51</v>
      </c>
      <c r="B10" s="71"/>
    </row>
    <row r="11" spans="1:26" x14ac:dyDescent="0.3">
      <c r="A11" s="12" t="s">
        <v>52</v>
      </c>
      <c r="B11" s="71"/>
    </row>
    <row r="12" spans="1:26" ht="30" customHeight="1" x14ac:dyDescent="0.3">
      <c r="A12" s="12" t="s">
        <v>53</v>
      </c>
      <c r="B12" s="71"/>
    </row>
    <row r="13" spans="1:26" x14ac:dyDescent="0.3">
      <c r="A13" s="12" t="s">
        <v>54</v>
      </c>
      <c r="B13" s="71"/>
    </row>
    <row r="14" spans="1:26" x14ac:dyDescent="0.3">
      <c r="A14" s="12" t="s">
        <v>55</v>
      </c>
      <c r="B14" s="71"/>
    </row>
    <row r="15" spans="1:26" x14ac:dyDescent="0.3">
      <c r="A15" s="12" t="s">
        <v>56</v>
      </c>
      <c r="B15" s="71"/>
    </row>
    <row r="16" spans="1:26" x14ac:dyDescent="0.3">
      <c r="A16" s="12" t="s">
        <v>57</v>
      </c>
      <c r="B16" s="71"/>
    </row>
    <row r="17" spans="1:12" x14ac:dyDescent="0.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1:12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1:12" ht="22.05" customHeight="1" x14ac:dyDescent="0.3">
      <c r="A19" s="13" t="s">
        <v>2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0" spans="1:12" x14ac:dyDescent="0.3">
      <c r="A20" s="14" t="s">
        <v>3</v>
      </c>
      <c r="B20" s="72"/>
      <c r="C20" s="15"/>
      <c r="D20" s="15"/>
      <c r="E20" s="14" t="s">
        <v>4</v>
      </c>
      <c r="F20" s="72"/>
      <c r="G20" s="15"/>
      <c r="H20" s="15"/>
      <c r="I20" s="14" t="s">
        <v>5</v>
      </c>
      <c r="J20" s="72"/>
      <c r="K20" s="15"/>
      <c r="L20" s="15"/>
    </row>
    <row r="21" spans="1:12" x14ac:dyDescent="0.3">
      <c r="A21" s="14" t="s">
        <v>6</v>
      </c>
      <c r="B21" s="72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2" x14ac:dyDescent="0.3">
      <c r="A22" s="14" t="s">
        <v>7</v>
      </c>
      <c r="B22" s="72"/>
      <c r="C22" s="15"/>
      <c r="D22" s="15"/>
      <c r="E22" s="16"/>
      <c r="F22" s="16"/>
      <c r="G22" s="16"/>
      <c r="H22" s="16"/>
      <c r="I22" s="14" t="s">
        <v>8</v>
      </c>
      <c r="J22" s="72"/>
      <c r="K22" s="15"/>
      <c r="L22" s="15"/>
    </row>
    <row r="23" spans="1:12" x14ac:dyDescent="0.3">
      <c r="A23" s="14" t="s">
        <v>86</v>
      </c>
      <c r="B23" s="73"/>
      <c r="C23" s="17"/>
      <c r="D23" s="17"/>
      <c r="E23" s="17"/>
      <c r="F23" s="17"/>
      <c r="G23" s="17"/>
      <c r="H23" s="17"/>
      <c r="I23" s="17"/>
      <c r="J23" s="17"/>
      <c r="K23" s="17"/>
      <c r="L23" s="17"/>
    </row>
    <row r="24" spans="1:12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ht="24" customHeight="1" x14ac:dyDescent="0.35">
      <c r="A25" s="18" t="s">
        <v>9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</row>
    <row r="26" spans="1:12" ht="30" customHeight="1" x14ac:dyDescent="0.3">
      <c r="A26" s="19" t="s">
        <v>102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</row>
    <row r="27" spans="1:12" x14ac:dyDescent="0.3">
      <c r="A27" s="20" t="s">
        <v>78</v>
      </c>
      <c r="B27" s="20" t="s">
        <v>103</v>
      </c>
    </row>
    <row r="28" spans="1:12" x14ac:dyDescent="0.3">
      <c r="A28" s="21" t="str">
        <f>IF(INDEX(OfferorNames,1)="","",INDEX(OfferorNames,1))</f>
        <v/>
      </c>
      <c r="B28" s="74"/>
    </row>
    <row r="29" spans="1:12" x14ac:dyDescent="0.3">
      <c r="A29" s="21" t="str">
        <f>IF(INDEX(OfferorNames,2)="","",INDEX(OfferorNames,2))</f>
        <v/>
      </c>
      <c r="B29" s="74"/>
    </row>
    <row r="30" spans="1:12" x14ac:dyDescent="0.3">
      <c r="A30" s="21" t="str">
        <f>IF(INDEX(OfferorNames,3)="","",INDEX(OfferorNames,3))</f>
        <v/>
      </c>
      <c r="B30" s="74"/>
    </row>
    <row r="31" spans="1:12" x14ac:dyDescent="0.3">
      <c r="A31" s="21" t="str">
        <f>IF(INDEX(OfferorNames,4)="","",INDEX(OfferorNames,4))</f>
        <v/>
      </c>
      <c r="B31" s="74"/>
    </row>
    <row r="32" spans="1:12" x14ac:dyDescent="0.3">
      <c r="A32" s="21" t="str">
        <f>IF(INDEX(OfferorNames,5)="","",INDEX(OfferorNames,5))</f>
        <v/>
      </c>
      <c r="B32" s="74"/>
    </row>
    <row r="33" spans="1:26" x14ac:dyDescent="0.3">
      <c r="A33" s="21" t="str">
        <f>IF(INDEX(OfferorNames,6)="","",INDEX(OfferorNames,6))</f>
        <v/>
      </c>
      <c r="B33" s="74"/>
    </row>
    <row r="34" spans="1:26" x14ac:dyDescent="0.3">
      <c r="A34" s="21" t="str">
        <f>IF(INDEX(OfferorNames,7)="","",INDEX(OfferorNames,7))</f>
        <v/>
      </c>
      <c r="B34" s="74"/>
    </row>
    <row r="35" spans="1:26" x14ac:dyDescent="0.3">
      <c r="A35" s="21" t="str">
        <f>IF(INDEX(OfferorNames,8)="","",INDEX(OfferorNames,8))</f>
        <v/>
      </c>
      <c r="B35" s="74"/>
    </row>
    <row r="36" spans="1:26" x14ac:dyDescent="0.3">
      <c r="A36" s="21" t="str">
        <f>IF(INDEX(OfferorNames,9)="","",INDEX(OfferorNames,9))</f>
        <v/>
      </c>
      <c r="B36" s="74"/>
    </row>
    <row r="37" spans="1:26" x14ac:dyDescent="0.3">
      <c r="A37" s="21" t="str">
        <f>IF(INDEX(OfferorNames,10)="","",INDEX(OfferorNames,10))</f>
        <v/>
      </c>
      <c r="B37" s="74"/>
    </row>
    <row r="38" spans="1:26" customFormat="1" x14ac:dyDescent="0.3"/>
    <row r="39" spans="1:26" ht="45" customHeight="1" x14ac:dyDescent="0.3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</row>
    <row r="40" spans="1:26" x14ac:dyDescent="0.3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</row>
    <row r="41" spans="1:26" ht="22.05" customHeight="1" x14ac:dyDescent="0.3">
      <c r="A41" s="23" t="s">
        <v>41</v>
      </c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x14ac:dyDescent="0.3">
      <c r="A42" s="25" t="s">
        <v>42</v>
      </c>
      <c r="B42" s="26" t="str">
        <f>IF(INDEX(OfferorNames,1)="","Offeror A",INDEX(OfferorNames,1))</f>
        <v>Offeror A</v>
      </c>
      <c r="C42" s="26" t="str">
        <f>IF(INDEX(OfferorNames,2)="","Offeror B",INDEX(OfferorNames,2))</f>
        <v>Offeror B</v>
      </c>
      <c r="D42" s="26" t="str">
        <f>IF(INDEX(OfferorNames,3)="","Offeror C",INDEX(OfferorNames,3))</f>
        <v>Offeror C</v>
      </c>
      <c r="E42" s="26" t="str">
        <f>IF(INDEX(OfferorNames,4)="","Offeror D",INDEX(OfferorNames,4))</f>
        <v>Offeror D</v>
      </c>
      <c r="F42" s="26" t="str">
        <f>IF(INDEX(OfferorNames,5)="","Offeror E",INDEX(OfferorNames,5))</f>
        <v>Offeror E</v>
      </c>
      <c r="G42" s="26" t="str">
        <f>IF(INDEX(OfferorNames,6)="","Offeror F",INDEX(OfferorNames,6))</f>
        <v>Offeror F</v>
      </c>
      <c r="H42" s="26" t="str">
        <f>IF(INDEX(OfferorNames,7)="","Offeror G",INDEX(OfferorNames,7))</f>
        <v>Offeror G</v>
      </c>
      <c r="I42" s="26" t="str">
        <f>IF(INDEX(OfferorNames,8)="","Offeror H",INDEX(OfferorNames,8))</f>
        <v>Offeror H</v>
      </c>
      <c r="J42" s="26" t="str">
        <f>IF(INDEX(OfferorNames,9)="","Offeror I",INDEX(OfferorNames,9))</f>
        <v>Offeror I</v>
      </c>
      <c r="K42" s="26" t="str">
        <f>IF(INDEX(OfferorNames,10)="","Offeror J",INDEX(OfferorNames,10))</f>
        <v>Offeror J</v>
      </c>
      <c r="L42" s="11" t="str">
        <f>IF(IGElabel="","IGE",IGElabel)</f>
        <v>IGE</v>
      </c>
    </row>
    <row r="43" spans="1:26" ht="40.049999999999997" customHeight="1" x14ac:dyDescent="0.3">
      <c r="A43" s="14" t="s">
        <v>43</v>
      </c>
      <c r="B43" s="27">
        <f>B28</f>
        <v>0</v>
      </c>
      <c r="C43" s="27">
        <f>B29</f>
        <v>0</v>
      </c>
      <c r="D43" s="27">
        <f>B30</f>
        <v>0</v>
      </c>
      <c r="E43" s="27">
        <f>B31</f>
        <v>0</v>
      </c>
      <c r="F43" s="27">
        <f>B32</f>
        <v>0</v>
      </c>
      <c r="G43" s="27">
        <f>B33</f>
        <v>0</v>
      </c>
      <c r="H43" s="27">
        <f>B34</f>
        <v>0</v>
      </c>
      <c r="I43" s="27">
        <f>B35</f>
        <v>0</v>
      </c>
      <c r="J43" s="27">
        <f>B36</f>
        <v>0</v>
      </c>
      <c r="K43" s="27">
        <f>B37</f>
        <v>0</v>
      </c>
      <c r="L43" s="28">
        <f>$B$23</f>
        <v>0</v>
      </c>
    </row>
    <row r="44" spans="1:26" ht="14.4" customHeight="1" x14ac:dyDescent="0.3">
      <c r="A44" s="14" t="s">
        <v>15</v>
      </c>
      <c r="B44" s="29" t="str" cm="1">
        <f t="array" ref="B44">IF(OR(INDEX(OfferorNames,1)="",B43=0),"",SUMPRODUCT(($B$43:$K$43&gt;0)*($B$43:$K$43&lt;B43))+1)</f>
        <v/>
      </c>
      <c r="C44" s="29" t="str" cm="1">
        <f t="array" ref="C44">IF(OR(INDEX(OfferorNames,2)="",C43=0),"",SUMPRODUCT(($B$43:$K$43&gt;0)*($B$43:$K$43&lt;C43))+1)</f>
        <v/>
      </c>
      <c r="D44" s="29" t="str" cm="1">
        <f t="array" ref="D44">IF(OR(INDEX(OfferorNames,3)="",D43=0),"",SUMPRODUCT(($B$43:$K$43&gt;0)*($B$43:$K$43&lt;D43))+1)</f>
        <v/>
      </c>
      <c r="E44" s="29" t="str" cm="1">
        <f t="array" ref="E44">IF(OR(INDEX(OfferorNames,4)="",E43=0),"",SUMPRODUCT(($B$43:$K$43&gt;0)*($B$43:$K$43&lt;E43))+1)</f>
        <v/>
      </c>
      <c r="F44" s="29" t="str" cm="1">
        <f t="array" ref="F44">IF(OR(INDEX(OfferorNames,5)="",F43=0),"",SUMPRODUCT(($B$43:$K$43&gt;0)*($B$43:$K$43&lt;F43))+1)</f>
        <v/>
      </c>
      <c r="G44" s="29" t="str" cm="1">
        <f t="array" ref="G44">IF(OR(INDEX(OfferorNames,6)="",G43=0),"",SUMPRODUCT(($B$43:$K$43&gt;0)*($B$43:$K$43&lt;G43))+1)</f>
        <v/>
      </c>
      <c r="H44" s="29" t="str" cm="1">
        <f t="array" ref="H44">IF(OR(INDEX(OfferorNames,7)="",H43=0),"",SUMPRODUCT(($B$43:$K$43&gt;0)*($B$43:$K$43&lt;H43))+1)</f>
        <v/>
      </c>
      <c r="I44" s="29" t="str" cm="1">
        <f t="array" ref="I44">IF(OR(INDEX(OfferorNames,8)="",I43=0),"",SUMPRODUCT(($B$43:$K$43&gt;0)*($B$43:$K$43&lt;I43))+1)</f>
        <v/>
      </c>
      <c r="J44" s="29" t="str" cm="1">
        <f t="array" ref="J44">IF(OR(INDEX(OfferorNames,9)="",J43=0),"",SUMPRODUCT(($B$43:$K$43&gt;0)*($B$43:$K$43&lt;J43))+1)</f>
        <v/>
      </c>
      <c r="K44" s="29" t="str" cm="1">
        <f t="array" ref="K44">IF(OR(INDEX(OfferorNames,10)="",K43=0),"",SUMPRODUCT(($B$43:$K$43&gt;0)*($B$43:$K$43&lt;K43))+1)</f>
        <v/>
      </c>
      <c r="L44" s="30"/>
    </row>
    <row r="45" spans="1:26" ht="40.049999999999997" customHeight="1" x14ac:dyDescent="0.3">
      <c r="A45" s="14" t="s">
        <v>66</v>
      </c>
      <c r="B45" s="31" t="str">
        <f>IF(OR($L$43=0,B43=0),"",(B43-$L$43)/$L$43)</f>
        <v/>
      </c>
      <c r="C45" s="31" t="str">
        <f>IF(OR($L$43=0,C43=0),"",(C43-$L$43)/$L$43)</f>
        <v/>
      </c>
      <c r="D45" s="31" t="str">
        <f>IF(OR($L$43=0,D43=0),"",(D43-$L$43)/$L$43)</f>
        <v/>
      </c>
      <c r="E45" s="31" t="str">
        <f>IF(OR($L$43=0,E43=0),"",(E43-$L$43)/$L$43)</f>
        <v/>
      </c>
      <c r="F45" s="31" t="str">
        <f>IF(OR($L$43=0,F43=0),"",(F43-$L$43)/$L$43)</f>
        <v/>
      </c>
      <c r="G45" s="31" t="str">
        <f>IF(OR($L$43=0,G43=0),"",(G43-$L$43)/$L$43)</f>
        <v/>
      </c>
      <c r="H45" s="31" t="str">
        <f>IF(OR($L$43=0,H43=0),"",(H43-$L$43)/$L$43)</f>
        <v/>
      </c>
      <c r="I45" s="31" t="str">
        <f>IF(OR($L$43=0,I43=0),"",(I43-$L$43)/$L$43)</f>
        <v/>
      </c>
      <c r="J45" s="31" t="str">
        <f>IF(OR($L$43=0,J43=0),"",(J43-$L$43)/$L$43)</f>
        <v/>
      </c>
      <c r="K45" s="31" t="str">
        <f>IF(OR($L$43=0,K43=0),"",(K43-$L$43)/$L$43)</f>
        <v/>
      </c>
      <c r="L45" s="30"/>
    </row>
    <row r="46" spans="1:26" ht="14.4" customHeight="1" x14ac:dyDescent="0.3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</row>
    <row r="47" spans="1:26" ht="22.05" customHeight="1" x14ac:dyDescent="0.3">
      <c r="A47" s="32" t="s">
        <v>16</v>
      </c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x14ac:dyDescent="0.3">
      <c r="A48" s="11" t="s">
        <v>17</v>
      </c>
      <c r="B48" s="26" t="str">
        <f>IF(INDEX(OfferorNames,1)="","Offeror A",INDEX(OfferorNames,1))</f>
        <v>Offeror A</v>
      </c>
      <c r="C48" s="26" t="str">
        <f>IF(INDEX(OfferorNames,2)="","Offeror B",INDEX(OfferorNames,2))</f>
        <v>Offeror B</v>
      </c>
      <c r="D48" s="26" t="str">
        <f>IF(INDEX(OfferorNames,3)="","Offeror C",INDEX(OfferorNames,3))</f>
        <v>Offeror C</v>
      </c>
      <c r="E48" s="26" t="str">
        <f>IF(INDEX(OfferorNames,4)="","Offeror D",INDEX(OfferorNames,4))</f>
        <v>Offeror D</v>
      </c>
      <c r="F48" s="26" t="str">
        <f>IF(INDEX(OfferorNames,5)="","Offeror E",INDEX(OfferorNames,5))</f>
        <v>Offeror E</v>
      </c>
      <c r="G48" s="26" t="str">
        <f>IF(INDEX(OfferorNames,6)="","Offeror F",INDEX(OfferorNames,6))</f>
        <v>Offeror F</v>
      </c>
      <c r="H48" s="26" t="str">
        <f>IF(INDEX(OfferorNames,7)="","Offeror G",INDEX(OfferorNames,7))</f>
        <v>Offeror G</v>
      </c>
      <c r="I48" s="26" t="str">
        <f>IF(INDEX(OfferorNames,8)="","Offeror H",INDEX(OfferorNames,8))</f>
        <v>Offeror H</v>
      </c>
      <c r="J48" s="26" t="str">
        <f>IF(INDEX(OfferorNames,9)="","Offeror I",INDEX(OfferorNames,9))</f>
        <v>Offeror I</v>
      </c>
      <c r="K48" s="26" t="str">
        <f>IF(INDEX(OfferorNames,10)="","Offeror J",INDEX(OfferorNames,10))</f>
        <v>Offeror J</v>
      </c>
      <c r="L48" s="34" t="s">
        <v>18</v>
      </c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 x14ac:dyDescent="0.3">
      <c r="A49" s="36" t="s">
        <v>19</v>
      </c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x14ac:dyDescent="0.3">
      <c r="A50" s="36" t="s">
        <v>20</v>
      </c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x14ac:dyDescent="0.3">
      <c r="A51" s="36" t="s">
        <v>21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x14ac:dyDescent="0.3">
      <c r="A52" s="36" t="s">
        <v>22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x14ac:dyDescent="0.3">
      <c r="A53" s="36" t="s">
        <v>23</v>
      </c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x14ac:dyDescent="0.3">
      <c r="A54" s="36" t="s">
        <v>24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x14ac:dyDescent="0.3">
      <c r="A55" s="36" t="s">
        <v>25</v>
      </c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x14ac:dyDescent="0.3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</row>
    <row r="57" spans="1:26" ht="22.05" customHeight="1" x14ac:dyDescent="0.3">
      <c r="A57" s="7" t="s">
        <v>26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x14ac:dyDescent="0.3">
      <c r="A58" s="38" t="s">
        <v>27</v>
      </c>
      <c r="B58" s="85"/>
      <c r="C58" s="87" t="str">
        <f>IFERROR(INDEX($B$42:$K$42,MATCH(1,$B$44:$K$44,0)),"")</f>
        <v/>
      </c>
      <c r="D58" s="16"/>
      <c r="E58" s="16"/>
      <c r="F58" s="16"/>
      <c r="G58" s="16"/>
      <c r="H58" s="38" t="s">
        <v>28</v>
      </c>
      <c r="I58" s="86"/>
      <c r="J58" s="88" t="str">
        <f>IFERROR(INDEX($B$43:$K$43,MATCH(1,$B$44:$K$44,0)),"")</f>
        <v/>
      </c>
      <c r="K58" s="16"/>
      <c r="L58" s="16"/>
    </row>
    <row r="59" spans="1:26" ht="49.95" customHeight="1" x14ac:dyDescent="0.3">
      <c r="A59" s="38" t="s">
        <v>29</v>
      </c>
      <c r="B59" s="77"/>
      <c r="C59" s="78" t="s">
        <v>30</v>
      </c>
      <c r="D59" s="39"/>
      <c r="E59" s="39"/>
      <c r="F59" s="39"/>
      <c r="G59" s="39"/>
      <c r="H59" s="39"/>
      <c r="I59" s="39"/>
      <c r="J59" s="39"/>
      <c r="K59" s="39"/>
      <c r="L59" s="39"/>
    </row>
    <row r="60" spans="1:26" x14ac:dyDescent="0.3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</row>
    <row r="61" spans="1:26" ht="49.95" customHeight="1" x14ac:dyDescent="0.3">
      <c r="A61" s="38" t="s">
        <v>31</v>
      </c>
      <c r="B61" s="77"/>
      <c r="C61" s="78" t="s">
        <v>67</v>
      </c>
      <c r="D61" s="39"/>
      <c r="E61" s="39"/>
      <c r="F61" s="39"/>
      <c r="G61" s="39"/>
      <c r="H61" s="39"/>
      <c r="I61" s="39"/>
      <c r="J61" s="39"/>
      <c r="K61" s="39"/>
      <c r="L61" s="39"/>
    </row>
    <row r="62" spans="1:26" x14ac:dyDescent="0.3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</row>
    <row r="63" spans="1:26" x14ac:dyDescent="0.3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</row>
    <row r="64" spans="1:26" x14ac:dyDescent="0.3">
      <c r="A64" s="40" t="s">
        <v>32</v>
      </c>
      <c r="B64" s="79"/>
      <c r="C64" s="40"/>
      <c r="D64" s="41"/>
      <c r="E64" s="41"/>
      <c r="F64" s="41"/>
      <c r="G64" s="41"/>
      <c r="H64" s="41"/>
      <c r="I64" s="42" t="s">
        <v>33</v>
      </c>
      <c r="J64" s="80"/>
      <c r="K64" s="41"/>
      <c r="L64" s="41"/>
    </row>
    <row r="65" spans="1:12" x14ac:dyDescent="0.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</row>
    <row r="66" spans="1:12" x14ac:dyDescent="0.3">
      <c r="A66" s="40" t="s">
        <v>34</v>
      </c>
      <c r="B66" s="79"/>
      <c r="C66" s="40"/>
      <c r="D66" s="41"/>
      <c r="E66" s="41"/>
      <c r="F66" s="41"/>
      <c r="G66" s="41"/>
      <c r="H66" s="41"/>
      <c r="I66" s="42" t="s">
        <v>33</v>
      </c>
      <c r="J66" s="80"/>
      <c r="K66" s="41"/>
      <c r="L66" s="41"/>
    </row>
    <row r="69" spans="1:12" x14ac:dyDescent="0.3">
      <c r="A69" s="89" t="s">
        <v>129</v>
      </c>
    </row>
    <row r="70" spans="1:12" x14ac:dyDescent="0.3">
      <c r="A70" s="90" t="s">
        <v>130</v>
      </c>
    </row>
    <row r="71" spans="1:12" x14ac:dyDescent="0.3">
      <c r="A71" s="90" t="s">
        <v>131</v>
      </c>
    </row>
    <row r="72" spans="1:12" x14ac:dyDescent="0.3">
      <c r="A72" s="91" t="s">
        <v>132</v>
      </c>
    </row>
  </sheetData>
  <sheetProtection sheet="1" objects="1" scenarios="1" sort="0" autoFilter="0"/>
  <mergeCells count="37">
    <mergeCell ref="A66:C66"/>
    <mergeCell ref="D66:H66"/>
    <mergeCell ref="J66:L66"/>
    <mergeCell ref="A1:Z1"/>
    <mergeCell ref="A2:Z2"/>
    <mergeCell ref="A59:B59"/>
    <mergeCell ref="C59:L59"/>
    <mergeCell ref="A61:B61"/>
    <mergeCell ref="C61:L61"/>
    <mergeCell ref="A64:C64"/>
    <mergeCell ref="D64:H64"/>
    <mergeCell ref="J64:L64"/>
    <mergeCell ref="L53:Z53"/>
    <mergeCell ref="L54:Z54"/>
    <mergeCell ref="L55:Z55"/>
    <mergeCell ref="A57:Z57"/>
    <mergeCell ref="A58:B58"/>
    <mergeCell ref="C58:G58"/>
    <mergeCell ref="H58:I58"/>
    <mergeCell ref="J58:L58"/>
    <mergeCell ref="A47:Z47"/>
    <mergeCell ref="L48:Z48"/>
    <mergeCell ref="L49:Z49"/>
    <mergeCell ref="L50:Z50"/>
    <mergeCell ref="L51:Z51"/>
    <mergeCell ref="L52:Z52"/>
    <mergeCell ref="B22:H22"/>
    <mergeCell ref="J22:L22"/>
    <mergeCell ref="B23:L23"/>
    <mergeCell ref="A5:B5"/>
    <mergeCell ref="A19:L19"/>
    <mergeCell ref="B20:D20"/>
    <mergeCell ref="F20:H20"/>
    <mergeCell ref="J20:L20"/>
    <mergeCell ref="B21:L21"/>
    <mergeCell ref="A41:Z41"/>
    <mergeCell ref="A4:B4"/>
  </mergeCells>
  <dataValidations count="1">
    <dataValidation type="list" allowBlank="1" showInputMessage="1" showErrorMessage="1" errorTitle="Invalid Entry" error="Please select Y (meets), N (does not meet), or N/A (not applicable)" sqref="B49:K55" xr:uid="{4FD61099-1C24-441C-85E3-5DA494283DC2}">
      <formula1>"Y,N,N/A"</formula1>
    </dataValidation>
  </dataValidations>
  <pageMargins left="0.7" right="0.7" top="0.75" bottom="0.75" header="0.3" footer="0.3"/>
  <pageSetup scale="58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5B286-90BF-4979-8159-C6AD0ADD4ECA}">
  <sheetPr>
    <pageSetUpPr fitToPage="1"/>
  </sheetPr>
  <dimension ref="A1:Z42"/>
  <sheetViews>
    <sheetView workbookViewId="0">
      <pane ySplit="5" topLeftCell="A6" activePane="bottomLeft" state="frozen"/>
      <selection pane="bottomLeft" activeCell="B3" sqref="B3"/>
    </sheetView>
  </sheetViews>
  <sheetFormatPr defaultRowHeight="14.4" x14ac:dyDescent="0.3"/>
  <cols>
    <col min="1" max="1" width="37.109375" style="3" bestFit="1" customWidth="1"/>
    <col min="2" max="2" width="25.88671875" style="3" customWidth="1"/>
    <col min="3" max="4" width="10.21875" style="3" customWidth="1"/>
    <col min="5" max="5" width="14.77734375" style="3" customWidth="1"/>
    <col min="6" max="6" width="16.6640625" style="3" customWidth="1"/>
    <col min="7" max="7" width="14.77734375" style="3" customWidth="1"/>
    <col min="8" max="8" width="16.6640625" style="3" customWidth="1"/>
    <col min="9" max="9" width="14.77734375" style="3" customWidth="1"/>
    <col min="10" max="10" width="16.6640625" style="3" customWidth="1"/>
    <col min="11" max="11" width="14.77734375" style="3" customWidth="1"/>
    <col min="12" max="12" width="16.6640625" style="3" customWidth="1"/>
    <col min="13" max="13" width="14.77734375" style="3" customWidth="1"/>
    <col min="14" max="14" width="16.6640625" style="3" customWidth="1"/>
    <col min="15" max="15" width="14.77734375" style="3" customWidth="1"/>
    <col min="16" max="16" width="16.6640625" style="3" customWidth="1"/>
    <col min="17" max="17" width="14.77734375" style="3" customWidth="1"/>
    <col min="18" max="18" width="16.6640625" style="3" customWidth="1"/>
    <col min="19" max="19" width="14.77734375" style="3" customWidth="1"/>
    <col min="20" max="20" width="16.6640625" style="3" customWidth="1"/>
    <col min="21" max="21" width="14.77734375" style="3" customWidth="1"/>
    <col min="22" max="22" width="16.6640625" style="3" customWidth="1"/>
    <col min="23" max="23" width="14.77734375" style="3" customWidth="1"/>
    <col min="24" max="24" width="16.6640625" style="3" customWidth="1"/>
    <col min="25" max="25" width="14.77734375" style="3" customWidth="1"/>
    <col min="26" max="26" width="16.6640625" style="3" customWidth="1"/>
    <col min="27" max="16384" width="8.88671875" style="3"/>
  </cols>
  <sheetData>
    <row r="1" spans="1:26" ht="24" customHeight="1" x14ac:dyDescent="0.35">
      <c r="A1" s="18" t="s">
        <v>97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x14ac:dyDescent="0.3">
      <c r="A2" s="19" t="s">
        <v>98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x14ac:dyDescent="0.3">
      <c r="A3" s="44" t="s">
        <v>99</v>
      </c>
      <c r="B3" s="81" t="s">
        <v>100</v>
      </c>
      <c r="C3" s="10" t="s">
        <v>101</v>
      </c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x14ac:dyDescent="0.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2.05" customHeight="1" x14ac:dyDescent="0.3">
      <c r="A6" s="7" t="s">
        <v>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30" customHeight="1" x14ac:dyDescent="0.3">
      <c r="A7" s="45" t="s">
        <v>59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22.05" customHeight="1" x14ac:dyDescent="0.3">
      <c r="A8" s="34" t="s">
        <v>60</v>
      </c>
      <c r="B8" s="34"/>
      <c r="C8" s="34"/>
      <c r="D8" s="34"/>
      <c r="E8" s="46" t="str">
        <f>IF(INDEX(OfferorNames,1)="","Offeror A",INDEX(OfferorNames,1))</f>
        <v>Offeror A</v>
      </c>
      <c r="F8" s="46"/>
      <c r="G8" s="46" t="str">
        <f>IF(INDEX(OfferorNames,2)="","Offeror B",INDEX(OfferorNames,2))</f>
        <v>Offeror B</v>
      </c>
      <c r="H8" s="46"/>
      <c r="I8" s="46" t="str">
        <f>IF(INDEX(OfferorNames,3)="","Offeror C",INDEX(OfferorNames,3))</f>
        <v>Offeror C</v>
      </c>
      <c r="J8" s="46"/>
      <c r="K8" s="46" t="str">
        <f>IF(INDEX(OfferorNames,4)="","Offeror D",INDEX(OfferorNames,4))</f>
        <v>Offeror D</v>
      </c>
      <c r="L8" s="46"/>
      <c r="M8" s="46" t="str">
        <f>IF(INDEX(OfferorNames,5)="","Offeror E",INDEX(OfferorNames,5))</f>
        <v>Offeror E</v>
      </c>
      <c r="N8" s="46"/>
      <c r="O8" s="46" t="str">
        <f>IF(INDEX(OfferorNames,6)="","Offeror F",INDEX(OfferorNames,6))</f>
        <v>Offeror F</v>
      </c>
      <c r="P8" s="46"/>
      <c r="Q8" s="46" t="str">
        <f>IF(INDEX(OfferorNames,7)="","Offeror G",INDEX(OfferorNames,7))</f>
        <v>Offeror G</v>
      </c>
      <c r="R8" s="46"/>
      <c r="S8" s="46" t="str">
        <f>IF(INDEX(OfferorNames,8)="","Offeror H",INDEX(OfferorNames,8))</f>
        <v>Offeror H</v>
      </c>
      <c r="T8" s="46"/>
      <c r="U8" s="46" t="str">
        <f>IF(INDEX(OfferorNames,9)="","Offeror I",INDEX(OfferorNames,9))</f>
        <v>Offeror I</v>
      </c>
      <c r="V8" s="46"/>
      <c r="W8" s="46" t="str">
        <f>IF(INDEX(OfferorNames,10)="","Offeror J",INDEX(OfferorNames,10))</f>
        <v>Offeror J</v>
      </c>
      <c r="X8" s="46"/>
      <c r="Y8" s="34" t="str">
        <f>IF(IGElabel="","IGE",IGElabel)</f>
        <v>IGE</v>
      </c>
      <c r="Z8" s="34"/>
    </row>
    <row r="9" spans="1:26" x14ac:dyDescent="0.3">
      <c r="A9" s="47" t="s">
        <v>10</v>
      </c>
      <c r="B9" s="47" t="s">
        <v>11</v>
      </c>
      <c r="C9" s="47" t="s">
        <v>12</v>
      </c>
      <c r="D9" s="47" t="s">
        <v>13</v>
      </c>
      <c r="E9" s="48" t="s">
        <v>68</v>
      </c>
      <c r="F9" s="48" t="s">
        <v>69</v>
      </c>
      <c r="G9" s="48" t="s">
        <v>68</v>
      </c>
      <c r="H9" s="48" t="s">
        <v>69</v>
      </c>
      <c r="I9" s="48" t="s">
        <v>68</v>
      </c>
      <c r="J9" s="48" t="s">
        <v>69</v>
      </c>
      <c r="K9" s="48" t="s">
        <v>68</v>
      </c>
      <c r="L9" s="48" t="s">
        <v>69</v>
      </c>
      <c r="M9" s="48" t="s">
        <v>68</v>
      </c>
      <c r="N9" s="48" t="s">
        <v>69</v>
      </c>
      <c r="O9" s="48" t="s">
        <v>68</v>
      </c>
      <c r="P9" s="48" t="s">
        <v>69</v>
      </c>
      <c r="Q9" s="48" t="s">
        <v>68</v>
      </c>
      <c r="R9" s="48" t="s">
        <v>69</v>
      </c>
      <c r="S9" s="48" t="s">
        <v>68</v>
      </c>
      <c r="T9" s="48" t="s">
        <v>69</v>
      </c>
      <c r="U9" s="48" t="s">
        <v>68</v>
      </c>
      <c r="V9" s="48" t="s">
        <v>69</v>
      </c>
      <c r="W9" s="48" t="s">
        <v>68</v>
      </c>
      <c r="X9" s="48" t="s">
        <v>69</v>
      </c>
      <c r="Y9" s="47" t="s">
        <v>68</v>
      </c>
      <c r="Z9" s="47" t="s">
        <v>69</v>
      </c>
    </row>
    <row r="10" spans="1:26" x14ac:dyDescent="0.3">
      <c r="A10" s="49" t="s">
        <v>35</v>
      </c>
      <c r="B10" s="71"/>
      <c r="C10" s="82">
        <v>1</v>
      </c>
      <c r="D10" s="82" t="s">
        <v>14</v>
      </c>
      <c r="E10" s="74"/>
      <c r="F10" s="50" t="str">
        <f>IFERROR(IF(E10="","",$C10*E10),"")</f>
        <v/>
      </c>
      <c r="G10" s="74"/>
      <c r="H10" s="50" t="str">
        <f>IFERROR(IF(G10="","",$C10*G10),"")</f>
        <v/>
      </c>
      <c r="I10" s="74"/>
      <c r="J10" s="50" t="str">
        <f>IFERROR(IF(I10="","",$C10*I10),"")</f>
        <v/>
      </c>
      <c r="K10" s="74"/>
      <c r="L10" s="50" t="str">
        <f>IFERROR(IF(K10="","",$C10*K10),"")</f>
        <v/>
      </c>
      <c r="M10" s="74"/>
      <c r="N10" s="50" t="str">
        <f>IFERROR(IF(M10="","",$C10*M10),"")</f>
        <v/>
      </c>
      <c r="O10" s="74"/>
      <c r="P10" s="50" t="str">
        <f>IFERROR(IF(O10="","",$C10*O10),"")</f>
        <v/>
      </c>
      <c r="Q10" s="74"/>
      <c r="R10" s="50" t="str">
        <f>IFERROR(IF(Q10="","",$C10*Q10),"")</f>
        <v/>
      </c>
      <c r="S10" s="83"/>
      <c r="T10" s="51" t="str">
        <f>IFERROR(IF(S10="","",$C10*S10),"")</f>
        <v/>
      </c>
      <c r="U10" s="83"/>
      <c r="V10" s="51" t="str">
        <f>IFERROR(IF(U10="","",$C10*U10),"")</f>
        <v/>
      </c>
      <c r="W10" s="83"/>
      <c r="X10" s="51" t="str">
        <f>IFERROR(IF(W10="","",$C10*W10),"")</f>
        <v/>
      </c>
      <c r="Y10" s="84">
        <v>120</v>
      </c>
      <c r="Z10" s="52">
        <f>IFERROR(IF(Y10="","",$C10*Y10),"")</f>
        <v>120</v>
      </c>
    </row>
    <row r="11" spans="1:26" x14ac:dyDescent="0.3">
      <c r="A11" s="49" t="s">
        <v>36</v>
      </c>
      <c r="B11" s="71"/>
      <c r="C11" s="82">
        <v>1</v>
      </c>
      <c r="D11" s="82" t="s">
        <v>14</v>
      </c>
      <c r="E11" s="74"/>
      <c r="F11" s="50" t="str">
        <f>IFERROR(IF(E11="","",$C11*E11),"")</f>
        <v/>
      </c>
      <c r="G11" s="74"/>
      <c r="H11" s="50" t="str">
        <f>IFERROR(IF(G11="","",$C11*G11),"")</f>
        <v/>
      </c>
      <c r="I11" s="74"/>
      <c r="J11" s="50" t="str">
        <f>IFERROR(IF(I11="","",$C11*I11),"")</f>
        <v/>
      </c>
      <c r="K11" s="74"/>
      <c r="L11" s="50" t="str">
        <f>IFERROR(IF(K11="","",$C11*K11),"")</f>
        <v/>
      </c>
      <c r="M11" s="74"/>
      <c r="N11" s="50" t="str">
        <f>IFERROR(IF(M11="","",$C11*M11),"")</f>
        <v/>
      </c>
      <c r="O11" s="74"/>
      <c r="P11" s="50" t="str">
        <f>IFERROR(IF(O11="","",$C11*O11),"")</f>
        <v/>
      </c>
      <c r="Q11" s="74"/>
      <c r="R11" s="50" t="str">
        <f>IFERROR(IF(Q11="","",$C11*Q11),"")</f>
        <v/>
      </c>
      <c r="S11" s="83"/>
      <c r="T11" s="51" t="str">
        <f>IFERROR(IF(S11="","",$C11*S11),"")</f>
        <v/>
      </c>
      <c r="U11" s="83"/>
      <c r="V11" s="51" t="str">
        <f>IFERROR(IF(U11="","",$C11*U11),"")</f>
        <v/>
      </c>
      <c r="W11" s="83"/>
      <c r="X11" s="51" t="str">
        <f>IFERROR(IF(W11="","",$C11*W11),"")</f>
        <v/>
      </c>
      <c r="Y11" s="84"/>
      <c r="Z11" s="52" t="str">
        <f>IFERROR(IF(Y11="","",$C11*Y11),"")</f>
        <v/>
      </c>
    </row>
    <row r="12" spans="1:26" x14ac:dyDescent="0.3">
      <c r="A12" s="49" t="s">
        <v>37</v>
      </c>
      <c r="B12" s="71"/>
      <c r="C12" s="82">
        <v>1</v>
      </c>
      <c r="D12" s="82" t="s">
        <v>14</v>
      </c>
      <c r="E12" s="74"/>
      <c r="F12" s="50" t="str">
        <f>IFERROR(IF(E12="","",$C12*E12),"")</f>
        <v/>
      </c>
      <c r="G12" s="74"/>
      <c r="H12" s="50" t="str">
        <f>IFERROR(IF(G12="","",$C12*G12),"")</f>
        <v/>
      </c>
      <c r="I12" s="74"/>
      <c r="J12" s="50" t="str">
        <f>IFERROR(IF(I12="","",$C12*I12),"")</f>
        <v/>
      </c>
      <c r="K12" s="74"/>
      <c r="L12" s="50" t="str">
        <f>IFERROR(IF(K12="","",$C12*K12),"")</f>
        <v/>
      </c>
      <c r="M12" s="74"/>
      <c r="N12" s="50" t="str">
        <f>IFERROR(IF(M12="","",$C12*M12),"")</f>
        <v/>
      </c>
      <c r="O12" s="74"/>
      <c r="P12" s="50" t="str">
        <f>IFERROR(IF(O12="","",$C12*O12),"")</f>
        <v/>
      </c>
      <c r="Q12" s="74"/>
      <c r="R12" s="50" t="str">
        <f>IFERROR(IF(Q12="","",$C12*Q12),"")</f>
        <v/>
      </c>
      <c r="S12" s="83"/>
      <c r="T12" s="51" t="str">
        <f>IFERROR(IF(S12="","",$C12*S12),"")</f>
        <v/>
      </c>
      <c r="U12" s="83"/>
      <c r="V12" s="51" t="str">
        <f>IFERROR(IF(U12="","",$C12*U12),"")</f>
        <v/>
      </c>
      <c r="W12" s="83"/>
      <c r="X12" s="51" t="str">
        <f>IFERROR(IF(W12="","",$C12*W12),"")</f>
        <v/>
      </c>
      <c r="Y12" s="84"/>
      <c r="Z12" s="52" t="str">
        <f>IFERROR(IF(Y12="","",$C12*Y12),"")</f>
        <v/>
      </c>
    </row>
    <row r="13" spans="1:26" x14ac:dyDescent="0.3">
      <c r="A13" s="49" t="s">
        <v>38</v>
      </c>
      <c r="B13" s="71"/>
      <c r="C13" s="82">
        <v>1</v>
      </c>
      <c r="D13" s="82" t="s">
        <v>14</v>
      </c>
      <c r="E13" s="74"/>
      <c r="F13" s="50" t="str">
        <f>IFERROR(IF(E13="","",$C13*E13),"")</f>
        <v/>
      </c>
      <c r="G13" s="74"/>
      <c r="H13" s="50" t="str">
        <f>IFERROR(IF(G13="","",$C13*G13),"")</f>
        <v/>
      </c>
      <c r="I13" s="74"/>
      <c r="J13" s="50" t="str">
        <f>IFERROR(IF(I13="","",$C13*I13),"")</f>
        <v/>
      </c>
      <c r="K13" s="74"/>
      <c r="L13" s="50" t="str">
        <f>IFERROR(IF(K13="","",$C13*K13),"")</f>
        <v/>
      </c>
      <c r="M13" s="74"/>
      <c r="N13" s="50" t="str">
        <f>IFERROR(IF(M13="","",$C13*M13),"")</f>
        <v/>
      </c>
      <c r="O13" s="74"/>
      <c r="P13" s="50" t="str">
        <f>IFERROR(IF(O13="","",$C13*O13),"")</f>
        <v/>
      </c>
      <c r="Q13" s="74"/>
      <c r="R13" s="50" t="str">
        <f>IFERROR(IF(Q13="","",$C13*Q13),"")</f>
        <v/>
      </c>
      <c r="S13" s="83"/>
      <c r="T13" s="51" t="str">
        <f>IFERROR(IF(S13="","",$C13*S13),"")</f>
        <v/>
      </c>
      <c r="U13" s="83"/>
      <c r="V13" s="51" t="str">
        <f>IFERROR(IF(U13="","",$C13*U13),"")</f>
        <v/>
      </c>
      <c r="W13" s="83"/>
      <c r="X13" s="51" t="str">
        <f>IFERROR(IF(W13="","",$C13*W13),"")</f>
        <v/>
      </c>
      <c r="Y13" s="84"/>
      <c r="Z13" s="52" t="str">
        <f>IFERROR(IF(Y13="","",$C13*Y13),"")</f>
        <v/>
      </c>
    </row>
    <row r="14" spans="1:26" x14ac:dyDescent="0.3">
      <c r="A14" s="49" t="s">
        <v>39</v>
      </c>
      <c r="B14" s="71"/>
      <c r="C14" s="82">
        <v>1</v>
      </c>
      <c r="D14" s="82" t="s">
        <v>14</v>
      </c>
      <c r="E14" s="74"/>
      <c r="F14" s="50" t="str">
        <f>IFERROR(IF(E14="","",$C14*E14),"")</f>
        <v/>
      </c>
      <c r="G14" s="74"/>
      <c r="H14" s="50" t="str">
        <f>IFERROR(IF(G14="","",$C14*G14),"")</f>
        <v/>
      </c>
      <c r="I14" s="74"/>
      <c r="J14" s="50" t="str">
        <f>IFERROR(IF(I14="","",$C14*I14),"")</f>
        <v/>
      </c>
      <c r="K14" s="74"/>
      <c r="L14" s="50" t="str">
        <f>IFERROR(IF(K14="","",$C14*K14),"")</f>
        <v/>
      </c>
      <c r="M14" s="74"/>
      <c r="N14" s="50" t="str">
        <f>IFERROR(IF(M14="","",$C14*M14),"")</f>
        <v/>
      </c>
      <c r="O14" s="74"/>
      <c r="P14" s="50" t="str">
        <f>IFERROR(IF(O14="","",$C14*O14),"")</f>
        <v/>
      </c>
      <c r="Q14" s="74"/>
      <c r="R14" s="50" t="str">
        <f>IFERROR(IF(Q14="","",$C14*Q14),"")</f>
        <v/>
      </c>
      <c r="S14" s="83"/>
      <c r="T14" s="51" t="str">
        <f>IFERROR(IF(S14="","",$C14*S14),"")</f>
        <v/>
      </c>
      <c r="U14" s="83"/>
      <c r="V14" s="51" t="str">
        <f>IFERROR(IF(U14="","",$C14*U14),"")</f>
        <v/>
      </c>
      <c r="W14" s="83"/>
      <c r="X14" s="51" t="str">
        <f>IFERROR(IF(W14="","",$C14*W14),"")</f>
        <v/>
      </c>
      <c r="Y14" s="84"/>
      <c r="Z14" s="52" t="str">
        <f>IFERROR(IF(Y14="","",$C14*Y14),"")</f>
        <v/>
      </c>
    </row>
    <row r="15" spans="1:26" x14ac:dyDescent="0.3">
      <c r="A15" s="49" t="s">
        <v>61</v>
      </c>
      <c r="B15" s="71"/>
      <c r="C15" s="82">
        <v>1</v>
      </c>
      <c r="D15" s="82" t="s">
        <v>14</v>
      </c>
      <c r="E15" s="74"/>
      <c r="F15" s="50" t="str">
        <f>IFERROR(IF(E15="","",$C15*E15),"")</f>
        <v/>
      </c>
      <c r="G15" s="74"/>
      <c r="H15" s="50" t="str">
        <f>IFERROR(IF(G15="","",$C15*G15),"")</f>
        <v/>
      </c>
      <c r="I15" s="74"/>
      <c r="J15" s="50" t="str">
        <f>IFERROR(IF(I15="","",$C15*I15),"")</f>
        <v/>
      </c>
      <c r="K15" s="74"/>
      <c r="L15" s="50" t="str">
        <f>IFERROR(IF(K15="","",$C15*K15),"")</f>
        <v/>
      </c>
      <c r="M15" s="74"/>
      <c r="N15" s="50" t="str">
        <f>IFERROR(IF(M15="","",$C15*M15),"")</f>
        <v/>
      </c>
      <c r="O15" s="74"/>
      <c r="P15" s="50" t="str">
        <f>IFERROR(IF(O15="","",$C15*O15),"")</f>
        <v/>
      </c>
      <c r="Q15" s="74"/>
      <c r="R15" s="50" t="str">
        <f>IFERROR(IF(Q15="","",$C15*Q15),"")</f>
        <v/>
      </c>
      <c r="S15" s="83"/>
      <c r="T15" s="51" t="str">
        <f>IFERROR(IF(S15="","",$C15*S15),"")</f>
        <v/>
      </c>
      <c r="U15" s="83"/>
      <c r="V15" s="51" t="str">
        <f>IFERROR(IF(U15="","",$C15*U15),"")</f>
        <v/>
      </c>
      <c r="W15" s="83"/>
      <c r="X15" s="51" t="str">
        <f>IFERROR(IF(W15="","",$C15*W15),"")</f>
        <v/>
      </c>
      <c r="Y15" s="84"/>
      <c r="Z15" s="52" t="str">
        <f>IFERROR(IF(Y15="","",$C15*Y15),"")</f>
        <v/>
      </c>
    </row>
    <row r="16" spans="1:26" x14ac:dyDescent="0.3">
      <c r="A16" s="49" t="s">
        <v>62</v>
      </c>
      <c r="B16" s="71"/>
      <c r="C16" s="82">
        <v>1</v>
      </c>
      <c r="D16" s="82" t="s">
        <v>14</v>
      </c>
      <c r="E16" s="74"/>
      <c r="F16" s="50" t="str">
        <f>IFERROR(IF(E16="","",$C16*E16),"")</f>
        <v/>
      </c>
      <c r="G16" s="74"/>
      <c r="H16" s="50" t="str">
        <f>IFERROR(IF(G16="","",$C16*G16),"")</f>
        <v/>
      </c>
      <c r="I16" s="74"/>
      <c r="J16" s="50" t="str">
        <f>IFERROR(IF(I16="","",$C16*I16),"")</f>
        <v/>
      </c>
      <c r="K16" s="74"/>
      <c r="L16" s="50" t="str">
        <f>IFERROR(IF(K16="","",$C16*K16),"")</f>
        <v/>
      </c>
      <c r="M16" s="74"/>
      <c r="N16" s="50" t="str">
        <f>IFERROR(IF(M16="","",$C16*M16),"")</f>
        <v/>
      </c>
      <c r="O16" s="74"/>
      <c r="P16" s="50" t="str">
        <f>IFERROR(IF(O16="","",$C16*O16),"")</f>
        <v/>
      </c>
      <c r="Q16" s="74"/>
      <c r="R16" s="50" t="str">
        <f>IFERROR(IF(Q16="","",$C16*Q16),"")</f>
        <v/>
      </c>
      <c r="S16" s="83"/>
      <c r="T16" s="51" t="str">
        <f>IFERROR(IF(S16="","",$C16*S16),"")</f>
        <v/>
      </c>
      <c r="U16" s="83"/>
      <c r="V16" s="51" t="str">
        <f>IFERROR(IF(U16="","",$C16*U16),"")</f>
        <v/>
      </c>
      <c r="W16" s="83"/>
      <c r="X16" s="51" t="str">
        <f>IFERROR(IF(W16="","",$C16*W16),"")</f>
        <v/>
      </c>
      <c r="Y16" s="84"/>
      <c r="Z16" s="52" t="str">
        <f>IFERROR(IF(Y16="","",$C16*Y16),"")</f>
        <v/>
      </c>
    </row>
    <row r="17" spans="1:26" x14ac:dyDescent="0.3">
      <c r="A17" s="49" t="s">
        <v>63</v>
      </c>
      <c r="B17" s="71"/>
      <c r="C17" s="82">
        <v>1</v>
      </c>
      <c r="D17" s="82" t="s">
        <v>14</v>
      </c>
      <c r="E17" s="74"/>
      <c r="F17" s="50" t="str">
        <f>IFERROR(IF(E17="","",$C17*E17),"")</f>
        <v/>
      </c>
      <c r="G17" s="74"/>
      <c r="H17" s="50" t="str">
        <f>IFERROR(IF(G17="","",$C17*G17),"")</f>
        <v/>
      </c>
      <c r="I17" s="74"/>
      <c r="J17" s="50" t="str">
        <f>IFERROR(IF(I17="","",$C17*I17),"")</f>
        <v/>
      </c>
      <c r="K17" s="74"/>
      <c r="L17" s="50" t="str">
        <f>IFERROR(IF(K17="","",$C17*K17),"")</f>
        <v/>
      </c>
      <c r="M17" s="74"/>
      <c r="N17" s="50" t="str">
        <f>IFERROR(IF(M17="","",$C17*M17),"")</f>
        <v/>
      </c>
      <c r="O17" s="74"/>
      <c r="P17" s="50" t="str">
        <f>IFERROR(IF(O17="","",$C17*O17),"")</f>
        <v/>
      </c>
      <c r="Q17" s="74"/>
      <c r="R17" s="50" t="str">
        <f>IFERROR(IF(Q17="","",$C17*Q17),"")</f>
        <v/>
      </c>
      <c r="S17" s="83"/>
      <c r="T17" s="51" t="str">
        <f>IFERROR(IF(S17="","",$C17*S17),"")</f>
        <v/>
      </c>
      <c r="U17" s="83"/>
      <c r="V17" s="51" t="str">
        <f>IFERROR(IF(U17="","",$C17*U17),"")</f>
        <v/>
      </c>
      <c r="W17" s="83"/>
      <c r="X17" s="51" t="str">
        <f>IFERROR(IF(W17="","",$C17*W17),"")</f>
        <v/>
      </c>
      <c r="Y17" s="84"/>
      <c r="Z17" s="52" t="str">
        <f>IFERROR(IF(Y17="","",$C17*Y17),"")</f>
        <v/>
      </c>
    </row>
    <row r="18" spans="1:26" x14ac:dyDescent="0.3">
      <c r="A18" s="49" t="s">
        <v>64</v>
      </c>
      <c r="B18" s="71"/>
      <c r="C18" s="82">
        <v>1</v>
      </c>
      <c r="D18" s="82" t="s">
        <v>14</v>
      </c>
      <c r="E18" s="74"/>
      <c r="F18" s="50" t="str">
        <f>IFERROR(IF(E18="","",$C18*E18),"")</f>
        <v/>
      </c>
      <c r="G18" s="74"/>
      <c r="H18" s="50" t="str">
        <f>IFERROR(IF(G18="","",$C18*G18),"")</f>
        <v/>
      </c>
      <c r="I18" s="74"/>
      <c r="J18" s="50" t="str">
        <f>IFERROR(IF(I18="","",$C18*I18),"")</f>
        <v/>
      </c>
      <c r="K18" s="74"/>
      <c r="L18" s="50" t="str">
        <f>IFERROR(IF(K18="","",$C18*K18),"")</f>
        <v/>
      </c>
      <c r="M18" s="74"/>
      <c r="N18" s="50" t="str">
        <f>IFERROR(IF(M18="","",$C18*M18),"")</f>
        <v/>
      </c>
      <c r="O18" s="74"/>
      <c r="P18" s="50" t="str">
        <f>IFERROR(IF(O18="","",$C18*O18),"")</f>
        <v/>
      </c>
      <c r="Q18" s="74"/>
      <c r="R18" s="50" t="str">
        <f>IFERROR(IF(Q18="","",$C18*Q18),"")</f>
        <v/>
      </c>
      <c r="S18" s="83"/>
      <c r="T18" s="51" t="str">
        <f>IFERROR(IF(S18="","",$C18*S18),"")</f>
        <v/>
      </c>
      <c r="U18" s="83"/>
      <c r="V18" s="51" t="str">
        <f>IFERROR(IF(U18="","",$C18*U18),"")</f>
        <v/>
      </c>
      <c r="W18" s="83"/>
      <c r="X18" s="51" t="str">
        <f>IFERROR(IF(W18="","",$C18*W18),"")</f>
        <v/>
      </c>
      <c r="Y18" s="84"/>
      <c r="Z18" s="52" t="str">
        <f>IFERROR(IF(Y18="","",$C18*Y18),"")</f>
        <v/>
      </c>
    </row>
    <row r="19" spans="1:26" x14ac:dyDescent="0.3">
      <c r="A19" s="49" t="s">
        <v>65</v>
      </c>
      <c r="B19" s="71"/>
      <c r="C19" s="82">
        <v>1</v>
      </c>
      <c r="D19" s="82" t="s">
        <v>14</v>
      </c>
      <c r="E19" s="74"/>
      <c r="F19" s="50" t="str">
        <f>IFERROR(IF(E19="","",$C19*E19),"")</f>
        <v/>
      </c>
      <c r="G19" s="74"/>
      <c r="H19" s="50" t="str">
        <f>IFERROR(IF(G19="","",$C19*G19),"")</f>
        <v/>
      </c>
      <c r="I19" s="74"/>
      <c r="J19" s="50" t="str">
        <f>IFERROR(IF(I19="","",$C19*I19),"")</f>
        <v/>
      </c>
      <c r="K19" s="74"/>
      <c r="L19" s="50" t="str">
        <f>IFERROR(IF(K19="","",$C19*K19),"")</f>
        <v/>
      </c>
      <c r="M19" s="74"/>
      <c r="N19" s="50" t="str">
        <f>IFERROR(IF(M19="","",$C19*M19),"")</f>
        <v/>
      </c>
      <c r="O19" s="74"/>
      <c r="P19" s="50" t="str">
        <f>IFERROR(IF(O19="","",$C19*O19),"")</f>
        <v/>
      </c>
      <c r="Q19" s="74"/>
      <c r="R19" s="50" t="str">
        <f>IFERROR(IF(Q19="","",$C19*Q19),"")</f>
        <v/>
      </c>
      <c r="S19" s="83"/>
      <c r="T19" s="51" t="str">
        <f>IFERROR(IF(S19="","",$C19*S19),"")</f>
        <v/>
      </c>
      <c r="U19" s="83"/>
      <c r="V19" s="51" t="str">
        <f>IFERROR(IF(U19="","",$C19*U19),"")</f>
        <v/>
      </c>
      <c r="W19" s="83"/>
      <c r="X19" s="51" t="str">
        <f>IFERROR(IF(W19="","",$C19*W19),"")</f>
        <v/>
      </c>
      <c r="Y19" s="84"/>
      <c r="Z19" s="52" t="str">
        <f>IFERROR(IF(Y19="","",$C19*Y19),"")</f>
        <v/>
      </c>
    </row>
    <row r="20" spans="1:26" ht="45" customHeight="1" x14ac:dyDescent="0.3">
      <c r="A20" s="53" t="s">
        <v>40</v>
      </c>
      <c r="B20" s="53"/>
      <c r="C20" s="53"/>
      <c r="D20" s="53"/>
      <c r="E20" s="54"/>
      <c r="F20" s="54">
        <f>IFERROR(SUM(F10:F19),0)</f>
        <v>0</v>
      </c>
      <c r="G20" s="54"/>
      <c r="H20" s="54">
        <f>IFERROR(SUM(H10:H19),0)</f>
        <v>0</v>
      </c>
      <c r="I20" s="54"/>
      <c r="J20" s="54">
        <f>IFERROR(SUM(J10:J19),0)</f>
        <v>0</v>
      </c>
      <c r="K20" s="54"/>
      <c r="L20" s="54">
        <f>IFERROR(SUM(L10:L19),0)</f>
        <v>0</v>
      </c>
      <c r="M20" s="54"/>
      <c r="N20" s="54">
        <f>IFERROR(SUM(N10:N19),0)</f>
        <v>0</v>
      </c>
      <c r="O20" s="54"/>
      <c r="P20" s="54">
        <f>IFERROR(SUM(P10:P19),0)</f>
        <v>0</v>
      </c>
      <c r="Q20" s="54"/>
      <c r="R20" s="54">
        <f>IFERROR(SUM(R10:R19),0)</f>
        <v>0</v>
      </c>
      <c r="S20" s="54"/>
      <c r="T20" s="54">
        <f>IFERROR(SUM(T10:T19),0)</f>
        <v>0</v>
      </c>
      <c r="U20" s="54"/>
      <c r="V20" s="54">
        <f>IFERROR(SUM(V10:V19),0)</f>
        <v>0</v>
      </c>
      <c r="W20" s="54"/>
      <c r="X20" s="54">
        <f>IFERROR(SUM(X10:X19),0)</f>
        <v>0</v>
      </c>
      <c r="Y20" s="55"/>
      <c r="Z20" s="56">
        <f>IFERROR(SUM(Z10:Z19),0)</f>
        <v>120</v>
      </c>
    </row>
    <row r="21" spans="1:26" x14ac:dyDescent="0.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45" customHeight="1" x14ac:dyDescent="0.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x14ac:dyDescent="0.3">
      <c r="A23" s="89" t="s">
        <v>129</v>
      </c>
    </row>
    <row r="24" spans="1:26" ht="40.049999999999997" customHeight="1" x14ac:dyDescent="0.3">
      <c r="A24" s="90" t="s">
        <v>130</v>
      </c>
    </row>
    <row r="25" spans="1:26" ht="14.4" customHeight="1" x14ac:dyDescent="0.3">
      <c r="A25" s="90" t="s">
        <v>133</v>
      </c>
    </row>
    <row r="26" spans="1:26" ht="40.049999999999997" customHeight="1" x14ac:dyDescent="0.3">
      <c r="A26" s="91" t="s">
        <v>132</v>
      </c>
    </row>
    <row r="27" spans="1:26" ht="14.4" customHeight="1" x14ac:dyDescent="0.3"/>
    <row r="40" ht="49.95" customHeight="1" x14ac:dyDescent="0.3"/>
    <row r="42" ht="49.95" customHeight="1" x14ac:dyDescent="0.3"/>
  </sheetData>
  <sheetProtection sheet="1" objects="1" scenarios="1" sort="0" autoFilter="0"/>
  <mergeCells count="15">
    <mergeCell ref="A20:D20"/>
    <mergeCell ref="O8:P8"/>
    <mergeCell ref="Q8:R8"/>
    <mergeCell ref="S8:T8"/>
    <mergeCell ref="U8:V8"/>
    <mergeCell ref="W8:X8"/>
    <mergeCell ref="Y8:Z8"/>
    <mergeCell ref="A8:D8"/>
    <mergeCell ref="E8:F8"/>
    <mergeCell ref="G8:H8"/>
    <mergeCell ref="I8:J8"/>
    <mergeCell ref="K8:L8"/>
    <mergeCell ref="M8:N8"/>
    <mergeCell ref="A6:Z6"/>
    <mergeCell ref="A7:Z7"/>
  </mergeCells>
  <dataValidations count="1">
    <dataValidation type="list" allowBlank="1" showInputMessage="1" showErrorMessage="1" errorTitle="Invalid Entry" error="Please select Yes or No" sqref="B3" xr:uid="{99E0F525-C40A-4820-858C-B6839208E518}">
      <formula1>"Yes,No"</formula1>
    </dataValidation>
  </dataValidations>
  <pageMargins left="0.7" right="0.7" top="0.75" bottom="0.75" header="0.3" footer="0.3"/>
  <pageSetup scale="2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04E7C-A74A-451D-9BE8-1682ACE7640A}">
  <dimension ref="A1:K32"/>
  <sheetViews>
    <sheetView workbookViewId="0">
      <pane ySplit="3" topLeftCell="A11" activePane="bottomLeft" state="frozen"/>
      <selection pane="bottomLeft" activeCell="O6" sqref="O6"/>
    </sheetView>
  </sheetViews>
  <sheetFormatPr defaultRowHeight="14.4" x14ac:dyDescent="0.3"/>
  <cols>
    <col min="1" max="1" width="27.88671875" style="3" bestFit="1" customWidth="1"/>
    <col min="2" max="2" width="29.6640625" style="3" customWidth="1"/>
    <col min="3" max="3" width="17.5546875" style="3" customWidth="1"/>
    <col min="4" max="4" width="16.6640625" style="3" customWidth="1"/>
    <col min="5" max="11" width="17.5546875" style="3" customWidth="1"/>
    <col min="12" max="12" width="13.88671875" style="3" customWidth="1"/>
    <col min="13" max="13" width="10.21875" style="3" customWidth="1"/>
    <col min="14" max="14" width="17.5546875" style="3" customWidth="1"/>
    <col min="15" max="15" width="13.88671875" style="3" customWidth="1"/>
    <col min="16" max="16384" width="8.88671875" style="3"/>
  </cols>
  <sheetData>
    <row r="1" spans="1:11" ht="28.05" customHeight="1" x14ac:dyDescent="0.4">
      <c r="A1" s="1" t="s">
        <v>70</v>
      </c>
      <c r="B1" s="1"/>
      <c r="C1" s="1"/>
      <c r="D1" s="1"/>
      <c r="E1" s="1"/>
      <c r="F1" s="1"/>
      <c r="G1" s="1"/>
      <c r="H1" s="1"/>
      <c r="I1" s="2"/>
      <c r="J1" s="2"/>
      <c r="K1" s="2"/>
    </row>
    <row r="2" spans="1:11" x14ac:dyDescent="0.3">
      <c r="A2" s="4" t="s">
        <v>71</v>
      </c>
      <c r="B2" s="4"/>
      <c r="C2" s="4"/>
      <c r="D2" s="4"/>
      <c r="E2" s="4"/>
      <c r="F2" s="4"/>
      <c r="G2" s="4"/>
      <c r="H2" s="4"/>
      <c r="I2" s="5"/>
      <c r="J2" s="5"/>
      <c r="K2" s="5"/>
    </row>
    <row r="3" spans="1:11" x14ac:dyDescent="0.3">
      <c r="A3" s="6"/>
      <c r="B3" s="6"/>
      <c r="C3" s="6"/>
      <c r="D3" s="6"/>
      <c r="E3" s="6"/>
      <c r="F3" s="6"/>
      <c r="G3" s="6"/>
      <c r="H3" s="6"/>
    </row>
    <row r="4" spans="1:11" ht="22.05" customHeight="1" x14ac:dyDescent="0.3">
      <c r="A4" s="8" t="s">
        <v>77</v>
      </c>
      <c r="B4" s="8"/>
      <c r="C4" s="8"/>
      <c r="D4" s="8"/>
    </row>
    <row r="5" spans="1:11" x14ac:dyDescent="0.3">
      <c r="A5" s="20" t="s">
        <v>78</v>
      </c>
      <c r="B5" s="20" t="s">
        <v>79</v>
      </c>
      <c r="C5" s="20" t="s">
        <v>66</v>
      </c>
      <c r="D5" s="20" t="s">
        <v>82</v>
      </c>
    </row>
    <row r="6" spans="1:11" x14ac:dyDescent="0.3">
      <c r="A6" s="57" t="str">
        <f>IF(INDEX(OfferorNames,1)="","",INDEX(OfferorNames,1))</f>
        <v/>
      </c>
      <c r="B6" s="58" t="str">
        <f>IF(INDEX(OfferorNames,1)="","",Abstract!B28)</f>
        <v/>
      </c>
      <c r="C6" s="59" t="str">
        <f>IF(OR(A6="",B6=0,B6="",$B$16=0,$B$16=""),"",(B6-$B$16)/$B$16)</f>
        <v/>
      </c>
      <c r="D6" s="60" t="str">
        <f>IF(OR(A6="",B6=0,B6=""),"",_xlfn.RANK.EQ(B6,$B$6:$B$15,1))</f>
        <v/>
      </c>
    </row>
    <row r="7" spans="1:11" x14ac:dyDescent="0.3">
      <c r="A7" s="57" t="str">
        <f>IF(INDEX(OfferorNames,2)="","",INDEX(OfferorNames,2))</f>
        <v/>
      </c>
      <c r="B7" s="58" t="str">
        <f>IF(INDEX(OfferorNames,2)="","",Abstract!B29)</f>
        <v/>
      </c>
      <c r="C7" s="59" t="str">
        <f>IF(OR(A7="",B7=0,B7="",$B$16=0,$B$16=""),"",(B7-$B$16)/$B$16)</f>
        <v/>
      </c>
      <c r="D7" s="60" t="str">
        <f>IF(OR(A7="",B7=0,B7=""),"",_xlfn.RANK.EQ(B7,$B$6:$B$15,1))</f>
        <v/>
      </c>
    </row>
    <row r="8" spans="1:11" x14ac:dyDescent="0.3">
      <c r="A8" s="57" t="str">
        <f>IF(INDEX(OfferorNames,3)="","",INDEX(OfferorNames,3))</f>
        <v/>
      </c>
      <c r="B8" s="58" t="str">
        <f>IF(INDEX(OfferorNames,3)="","",Abstract!B30)</f>
        <v/>
      </c>
      <c r="C8" s="59" t="str">
        <f>IF(OR(A8="",B8=0,B8="",$B$16=0,$B$16=""),"",(B8-$B$16)/$B$16)</f>
        <v/>
      </c>
      <c r="D8" s="60" t="str">
        <f>IF(OR(A8="",B8=0,B8=""),"",_xlfn.RANK.EQ(B8,$B$6:$B$15,1))</f>
        <v/>
      </c>
    </row>
    <row r="9" spans="1:11" x14ac:dyDescent="0.3">
      <c r="A9" s="57" t="str">
        <f>IF(INDEX(OfferorNames,4)="","",INDEX(OfferorNames,4))</f>
        <v/>
      </c>
      <c r="B9" s="58" t="str">
        <f>IF(INDEX(OfferorNames,4)="","",Abstract!B31)</f>
        <v/>
      </c>
      <c r="C9" s="59" t="str">
        <f>IF(OR(A9="",B9=0,B9="",$B$16=0,$B$16=""),"",(B9-$B$16)/$B$16)</f>
        <v/>
      </c>
      <c r="D9" s="60" t="str">
        <f>IF(OR(A9="",B9=0,B9=""),"",_xlfn.RANK.EQ(B9,$B$6:$B$15,1))</f>
        <v/>
      </c>
    </row>
    <row r="10" spans="1:11" x14ac:dyDescent="0.3">
      <c r="A10" s="57" t="str">
        <f>IF(INDEX(OfferorNames,5)="","",INDEX(OfferorNames,5))</f>
        <v/>
      </c>
      <c r="B10" s="58" t="str">
        <f>IF(INDEX(OfferorNames,5)="","",Abstract!B32)</f>
        <v/>
      </c>
      <c r="C10" s="59" t="str">
        <f>IF(OR(A10="",B10=0,B10="",$B$16=0,$B$16=""),"",(B10-$B$16)/$B$16)</f>
        <v/>
      </c>
      <c r="D10" s="60" t="str">
        <f>IF(OR(A10="",B10=0,B10=""),"",_xlfn.RANK.EQ(B10,$B$6:$B$15,1))</f>
        <v/>
      </c>
    </row>
    <row r="11" spans="1:11" x14ac:dyDescent="0.3">
      <c r="A11" s="57" t="str">
        <f>IF(INDEX(OfferorNames,6)="","",INDEX(OfferorNames,6))</f>
        <v/>
      </c>
      <c r="B11" s="58" t="str">
        <f>IF(INDEX(OfferorNames,6)="","",Abstract!B33)</f>
        <v/>
      </c>
      <c r="C11" s="59" t="str">
        <f>IF(OR(A11="",B11=0,B11="",$B$16=0,$B$16=""),"",(B11-$B$16)/$B$16)</f>
        <v/>
      </c>
      <c r="D11" s="60" t="str">
        <f>IF(OR(A11="",B11=0,B11=""),"",_xlfn.RANK.EQ(B11,$B$6:$B$15,1))</f>
        <v/>
      </c>
    </row>
    <row r="12" spans="1:11" x14ac:dyDescent="0.3">
      <c r="A12" s="57" t="str">
        <f>IF(INDEX(OfferorNames,7)="","",INDEX(OfferorNames,7))</f>
        <v/>
      </c>
      <c r="B12" s="58" t="str">
        <f>IF(INDEX(OfferorNames,7)="","",Abstract!B34)</f>
        <v/>
      </c>
      <c r="C12" s="59" t="str">
        <f>IF(OR(A12="",B12=0,B12="",$B$16=0,$B$16=""),"",(B12-$B$16)/$B$16)</f>
        <v/>
      </c>
      <c r="D12" s="60" t="str">
        <f>IF(OR(A12="",B12=0,B12=""),"",_xlfn.RANK.EQ(B12,$B$6:$B$15,1))</f>
        <v/>
      </c>
    </row>
    <row r="13" spans="1:11" x14ac:dyDescent="0.3">
      <c r="A13" s="57" t="str">
        <f>IF(INDEX(OfferorNames,8)="","",INDEX(OfferorNames,8))</f>
        <v/>
      </c>
      <c r="B13" s="58" t="str">
        <f>IF(INDEX(OfferorNames,8)="","",Abstract!B35)</f>
        <v/>
      </c>
      <c r="C13" s="59" t="str">
        <f>IF(OR(A13="",B13=0,B13="",$B$16=0,$B$16=""),"",(B13-$B$16)/$B$16)</f>
        <v/>
      </c>
      <c r="D13" s="60" t="str">
        <f>IF(OR(A13="",B13=0,B13=""),"",_xlfn.RANK.EQ(B13,$B$6:$B$15,1))</f>
        <v/>
      </c>
    </row>
    <row r="14" spans="1:11" x14ac:dyDescent="0.3">
      <c r="A14" s="57" t="str">
        <f>IF(INDEX(OfferorNames,9)="","",INDEX(OfferorNames,9))</f>
        <v/>
      </c>
      <c r="B14" s="58" t="str">
        <f>IF(INDEX(OfferorNames,9)="","",Abstract!B36)</f>
        <v/>
      </c>
      <c r="C14" s="59" t="str">
        <f>IF(OR(A14="",B14=0,B14="",$B$16=0,$B$16=""),"",(B14-$B$16)/$B$16)</f>
        <v/>
      </c>
      <c r="D14" s="60" t="str">
        <f>IF(OR(A14="",B14=0,B14=""),"",_xlfn.RANK.EQ(B14,$B$6:$B$15,1))</f>
        <v/>
      </c>
    </row>
    <row r="15" spans="1:11" x14ac:dyDescent="0.3">
      <c r="A15" s="57" t="str">
        <f>IF(INDEX(OfferorNames,10)="","",INDEX(OfferorNames,10))</f>
        <v/>
      </c>
      <c r="B15" s="58" t="str">
        <f>IF(INDEX(OfferorNames,10)="","",Abstract!B37)</f>
        <v/>
      </c>
      <c r="C15" s="59" t="str">
        <f>IF(OR(A15="",B15=0,B15="",$B$16=0,$B$16=""),"",(B15-$B$16)/$B$16)</f>
        <v/>
      </c>
      <c r="D15" s="60" t="str">
        <f>IF(OR(A15="",B15=0,B15=""),"",_xlfn.RANK.EQ(B15,$B$6:$B$15,1))</f>
        <v/>
      </c>
    </row>
    <row r="16" spans="1:11" x14ac:dyDescent="0.3">
      <c r="A16" s="61" t="s">
        <v>58</v>
      </c>
      <c r="B16" s="62">
        <f>Abstract!B23</f>
        <v>0</v>
      </c>
      <c r="C16" s="61"/>
      <c r="D16" s="61"/>
    </row>
    <row r="17" spans="1:8" x14ac:dyDescent="0.3">
      <c r="A17" s="6"/>
      <c r="B17" s="6"/>
      <c r="C17" s="6"/>
      <c r="D17" s="6"/>
      <c r="E17" s="6"/>
      <c r="F17" s="6"/>
      <c r="G17" s="6"/>
      <c r="H17" s="6"/>
    </row>
    <row r="18" spans="1:8" ht="22.05" customHeight="1" x14ac:dyDescent="0.3">
      <c r="A18" s="8" t="s">
        <v>104</v>
      </c>
      <c r="B18" s="8"/>
      <c r="C18" s="8"/>
      <c r="D18" s="8"/>
      <c r="E18" s="8"/>
      <c r="F18" s="8"/>
      <c r="G18" s="8"/>
      <c r="H18" s="8"/>
    </row>
    <row r="19" spans="1:8" x14ac:dyDescent="0.3">
      <c r="A19" s="20" t="s">
        <v>83</v>
      </c>
      <c r="B19" s="20" t="s">
        <v>74</v>
      </c>
      <c r="C19" s="20" t="s">
        <v>75</v>
      </c>
      <c r="D19" s="20" t="s">
        <v>72</v>
      </c>
      <c r="E19" s="20" t="s">
        <v>73</v>
      </c>
      <c r="F19" s="20" t="s">
        <v>76</v>
      </c>
      <c r="G19" s="20" t="s">
        <v>80</v>
      </c>
      <c r="H19" s="20" t="s">
        <v>81</v>
      </c>
    </row>
    <row r="20" spans="1:8" x14ac:dyDescent="0.3">
      <c r="A20" s="60">
        <f>COUNTIF(B6:B15,"&gt;0")</f>
        <v>0</v>
      </c>
      <c r="B20" s="63">
        <f>IFERROR(_xlfn.MINIFS(B6:B15,B6:B15,"&gt;0"),0)</f>
        <v>0</v>
      </c>
      <c r="C20" s="63">
        <f>IFERROR(_xlfn.MAXIFS(B6:B15,B6:B15,"&gt;0"),0)</f>
        <v>0</v>
      </c>
      <c r="D20" s="63">
        <f>IFERROR(AVERAGEIF(B6:B15,"&gt;0"),0)</f>
        <v>0</v>
      </c>
      <c r="E20" s="63" cm="1">
        <f t="array" ref="E20">IFERROR(MEDIAN(IF(B6:B15&gt;0,B6:B15)),0)</f>
        <v>0</v>
      </c>
      <c r="F20" s="63" cm="1">
        <f t="array" ref="F20">IFERROR(_xlfn.STDEV.S(IF(B6:B15&gt;0,B6:B15)),0)</f>
        <v>0</v>
      </c>
      <c r="G20" s="64">
        <f>IF(B20=0,0,(C20-B20)/B20)</f>
        <v>0</v>
      </c>
      <c r="H20" s="64">
        <f>IF(D20=0,0,F20/D20)</f>
        <v>0</v>
      </c>
    </row>
    <row r="21" spans="1:8" x14ac:dyDescent="0.3">
      <c r="A21" s="6"/>
      <c r="B21" s="6"/>
      <c r="C21" s="6"/>
      <c r="D21" s="6"/>
      <c r="E21" s="6"/>
      <c r="F21" s="6"/>
      <c r="G21" s="6"/>
      <c r="H21" s="6"/>
    </row>
    <row r="22" spans="1:8" ht="22.05" customHeight="1" x14ac:dyDescent="0.3">
      <c r="A22" s="8" t="s">
        <v>84</v>
      </c>
      <c r="B22" s="8"/>
      <c r="C22" s="8"/>
      <c r="D22" s="8"/>
      <c r="E22" s="8"/>
      <c r="F22" s="8"/>
      <c r="G22" s="8"/>
      <c r="H22" s="8"/>
    </row>
    <row r="23" spans="1:8" x14ac:dyDescent="0.3">
      <c r="A23" s="44" t="s">
        <v>85</v>
      </c>
      <c r="B23" s="65" t="str">
        <f>IFERROR(INDEX(A6:A15,MATCH(B20,B6:B15,0)),"(no offers)")</f>
        <v>(no offers)</v>
      </c>
      <c r="C23" s="6"/>
      <c r="D23" s="44" t="s">
        <v>110</v>
      </c>
      <c r="E23" s="57"/>
      <c r="F23" s="6"/>
      <c r="G23" s="6"/>
      <c r="H23" s="6"/>
    </row>
    <row r="24" spans="1:8" x14ac:dyDescent="0.3">
      <c r="A24" s="44" t="s">
        <v>105</v>
      </c>
      <c r="B24" s="58">
        <f>B20</f>
        <v>0</v>
      </c>
      <c r="C24" s="6"/>
      <c r="D24" s="44" t="s">
        <v>111</v>
      </c>
      <c r="E24" s="58">
        <f>B16</f>
        <v>0</v>
      </c>
      <c r="F24" s="6"/>
      <c r="G24" s="6"/>
      <c r="H24" s="6"/>
    </row>
    <row r="25" spans="1:8" x14ac:dyDescent="0.3">
      <c r="A25" s="44" t="s">
        <v>106</v>
      </c>
      <c r="B25" s="57" t="str" cm="1">
        <f t="array" ref="B25">IFERROR(IF(A20&lt;2,"(only 1 offer)",INDEX(A6:A15,MATCH(SMALL(IF(B6:B15&gt;0,B6:B15),2),B6:B15,0))),"-")</f>
        <v>(only 1 offer)</v>
      </c>
      <c r="C25" s="6"/>
      <c r="D25" s="44" t="s">
        <v>112</v>
      </c>
      <c r="E25" s="59">
        <f>IF(OR(B16=0,B20=0),0,(B20-B16)/B16)</f>
        <v>0</v>
      </c>
      <c r="F25" s="6"/>
      <c r="G25" s="6"/>
      <c r="H25" s="6"/>
    </row>
    <row r="26" spans="1:8" x14ac:dyDescent="0.3">
      <c r="A26" s="44" t="s">
        <v>107</v>
      </c>
      <c r="B26" s="58" cm="1">
        <f t="array" ref="B26">IFERROR(IF(A20&lt;2,0,SMALL(IF(B6:B15&gt;0,B6:B15),2)),0)</f>
        <v>0</v>
      </c>
      <c r="C26" s="6"/>
      <c r="D26" s="44" t="s">
        <v>113</v>
      </c>
      <c r="E26" s="59">
        <f>IF(OR(B16=0,D20=0),0,(D20-B16)/B16)</f>
        <v>0</v>
      </c>
      <c r="F26" s="6"/>
      <c r="G26" s="6"/>
      <c r="H26" s="6"/>
    </row>
    <row r="27" spans="1:8" x14ac:dyDescent="0.3">
      <c r="A27" s="44" t="s">
        <v>108</v>
      </c>
      <c r="B27" s="58">
        <f>IF(OR(A20&lt;2,B20=0),0,B26-B20)</f>
        <v>0</v>
      </c>
      <c r="C27" s="6"/>
      <c r="D27" s="44"/>
      <c r="E27" s="57"/>
      <c r="F27" s="6"/>
      <c r="G27" s="6"/>
      <c r="H27" s="6"/>
    </row>
    <row r="28" spans="1:8" x14ac:dyDescent="0.3">
      <c r="A28" s="44" t="s">
        <v>109</v>
      </c>
      <c r="B28" s="59">
        <f>IF(OR(A20&lt;2,B26=0,B20=0),0,(B26-B20)/B26)</f>
        <v>0</v>
      </c>
      <c r="C28" s="6"/>
      <c r="D28" s="44"/>
      <c r="E28" s="57"/>
      <c r="F28" s="6"/>
      <c r="G28" s="6"/>
      <c r="H28" s="6"/>
    </row>
    <row r="29" spans="1:8" x14ac:dyDescent="0.3">
      <c r="A29" s="6"/>
      <c r="B29" s="6"/>
      <c r="C29" s="6"/>
      <c r="D29" s="6"/>
      <c r="E29" s="6"/>
      <c r="F29" s="6"/>
      <c r="G29" s="6"/>
      <c r="H29" s="6"/>
    </row>
    <row r="30" spans="1:8" ht="22.05" customHeight="1" x14ac:dyDescent="0.3">
      <c r="A30" s="8" t="s">
        <v>114</v>
      </c>
      <c r="B30" s="8"/>
      <c r="C30" s="8"/>
      <c r="D30" s="8"/>
      <c r="E30" s="8"/>
      <c r="F30" s="8"/>
      <c r="G30" s="8"/>
      <c r="H30" s="8"/>
    </row>
    <row r="31" spans="1:8" x14ac:dyDescent="0.3">
      <c r="A31" s="20" t="s">
        <v>87</v>
      </c>
      <c r="B31" s="20" t="s">
        <v>88</v>
      </c>
      <c r="C31" s="20" t="s">
        <v>115</v>
      </c>
      <c r="D31" s="20" t="s">
        <v>116</v>
      </c>
      <c r="E31" s="6"/>
      <c r="F31" s="6"/>
      <c r="G31" s="6"/>
      <c r="H31" s="6"/>
    </row>
    <row r="32" spans="1:8" x14ac:dyDescent="0.3">
      <c r="A32" s="66" cm="1">
        <f t="array" ref="A32">IF(B16=0,0,SUMPRODUCT(--(IFERROR(ABS((B6:B15-B16)/B16)&lt;=0.1,FALSE)),--(IFERROR(B6:B15&gt;0,FALSE))))</f>
        <v>0</v>
      </c>
      <c r="B32" s="66" cm="1">
        <f t="array" ref="B32">IF(B16=0,0,SUMPRODUCT(--(IFERROR(ABS((B6:B15-B16)/B16)&gt;0.1,FALSE)),--(IFERROR(ABS((B6:B15-B16)/B16)&lt;=0.25,FALSE)),--(IFERROR(B6:B15&gt;0,FALSE))))</f>
        <v>0</v>
      </c>
      <c r="C32" s="66" cm="1">
        <f t="array" ref="C32">IF(B16=0,0,SUMPRODUCT(--(IFERROR((B6:B15-B16)/B16&gt;0.25,FALSE)),--(IFERROR(B6:B15&gt;0,FALSE))))</f>
        <v>0</v>
      </c>
      <c r="D32" s="66" cm="1">
        <f t="array" ref="D32">IF(B16=0,0,SUMPRODUCT(--(IFERROR((B6:B15-B16)/B16&lt;-0.25,FALSE)),--(IFERROR(B6:B15&gt;0,FALSE))))</f>
        <v>0</v>
      </c>
      <c r="E32" s="6"/>
      <c r="F32" s="6"/>
      <c r="G32" s="6"/>
      <c r="H32" s="6"/>
    </row>
  </sheetData>
  <sheetProtection sheet="1" objects="1" scenarios="1" sort="0" autoFilter="0"/>
  <mergeCells count="2">
    <mergeCell ref="A1:K1"/>
    <mergeCell ref="A2:K2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705C6-C117-4442-AE65-274B5408CE9F}">
  <dimension ref="B2:R84"/>
  <sheetViews>
    <sheetView workbookViewId="0">
      <selection activeCell="I3" sqref="I3"/>
    </sheetView>
  </sheetViews>
  <sheetFormatPr defaultRowHeight="14.4" x14ac:dyDescent="0.3"/>
  <cols>
    <col min="1" max="1" width="3.6640625" style="3" customWidth="1"/>
    <col min="2" max="2" width="138.33203125" style="3" bestFit="1" customWidth="1"/>
    <col min="3" max="16384" width="8.88671875" style="3"/>
  </cols>
  <sheetData>
    <row r="2" spans="2:17" ht="28.05" customHeight="1" x14ac:dyDescent="0.4">
      <c r="B2" s="67" t="s">
        <v>91</v>
      </c>
      <c r="C2" s="20" t="s">
        <v>78</v>
      </c>
      <c r="D2" s="20" t="s">
        <v>79</v>
      </c>
    </row>
    <row r="3" spans="2:17" x14ac:dyDescent="0.3">
      <c r="B3" s="68" t="s">
        <v>92</v>
      </c>
      <c r="C3" s="57" t="str">
        <f>IF(Analysis!A6="","",Analysis!A6)</f>
        <v/>
      </c>
      <c r="D3" s="57" t="e">
        <f>IF(Analysis!A6="",NA(),Analysis!B6)</f>
        <v>#N/A</v>
      </c>
    </row>
    <row r="4" spans="2:17" x14ac:dyDescent="0.3">
      <c r="C4" s="57" t="str">
        <f>IF(Analysis!A7="","",Analysis!A7)</f>
        <v/>
      </c>
      <c r="D4" s="57" t="e">
        <f>IF(Analysis!A7="",NA(),Analysis!B7)</f>
        <v>#N/A</v>
      </c>
    </row>
    <row r="5" spans="2:17" ht="15.6" x14ac:dyDescent="0.3">
      <c r="B5" s="69" t="s">
        <v>93</v>
      </c>
      <c r="C5" s="57" t="str">
        <f>IF(Analysis!A8="","",Analysis!A8)</f>
        <v/>
      </c>
      <c r="D5" s="57" t="e">
        <f>IF(Analysis!A8="",NA(),Analysis!B8)</f>
        <v>#N/A</v>
      </c>
      <c r="G5" s="69" t="s">
        <v>120</v>
      </c>
      <c r="P5" s="10"/>
    </row>
    <row r="6" spans="2:17" x14ac:dyDescent="0.3">
      <c r="C6" s="57" t="str">
        <f>IF(Analysis!A9="","",Analysis!A9)</f>
        <v/>
      </c>
      <c r="D6" s="57" t="e">
        <f>IF(Analysis!A9="",NA(),Analysis!B9)</f>
        <v>#N/A</v>
      </c>
      <c r="P6" s="20" t="s">
        <v>78</v>
      </c>
      <c r="Q6" s="20" t="s">
        <v>79</v>
      </c>
    </row>
    <row r="7" spans="2:17" x14ac:dyDescent="0.3">
      <c r="C7" s="57" t="str">
        <f>IF(Analysis!A10="","",Analysis!A10)</f>
        <v/>
      </c>
      <c r="D7" s="57" t="e">
        <f>IF(Analysis!A10="",NA(),Analysis!B10)</f>
        <v>#N/A</v>
      </c>
      <c r="P7" s="57" t="str">
        <f>IFERROR(Analysis!B23,"")</f>
        <v>(no offers)</v>
      </c>
      <c r="Q7" s="57">
        <f>IFERROR(Analysis!B24,NA())</f>
        <v>0</v>
      </c>
    </row>
    <row r="8" spans="2:17" x14ac:dyDescent="0.3">
      <c r="C8" s="57" t="str">
        <f>IF(Analysis!A11="","",Analysis!A11)</f>
        <v/>
      </c>
      <c r="D8" s="57" t="e">
        <f>IF(Analysis!A11="",NA(),Analysis!B11)</f>
        <v>#N/A</v>
      </c>
      <c r="P8" s="57" t="str">
        <f>IFERROR(Analysis!B25,"")</f>
        <v>(only 1 offer)</v>
      </c>
      <c r="Q8" s="57">
        <f>IFERROR(Analysis!B26,NA())</f>
        <v>0</v>
      </c>
    </row>
    <row r="9" spans="2:17" x14ac:dyDescent="0.3">
      <c r="C9" s="57" t="str">
        <f>IF(Analysis!A12="","",Analysis!A12)</f>
        <v/>
      </c>
      <c r="D9" s="57" t="e">
        <f>IF(Analysis!A12="",NA(),Analysis!B12)</f>
        <v>#N/A</v>
      </c>
      <c r="P9" s="65" t="s">
        <v>58</v>
      </c>
      <c r="Q9" s="57">
        <f>Analysis!B16</f>
        <v>0</v>
      </c>
    </row>
    <row r="10" spans="2:17" x14ac:dyDescent="0.3">
      <c r="C10" s="57" t="str">
        <f>IF(Analysis!A13="","",Analysis!A13)</f>
        <v/>
      </c>
      <c r="D10" s="57" t="e">
        <f>IF(Analysis!A13="",NA(),Analysis!B13)</f>
        <v>#N/A</v>
      </c>
    </row>
    <row r="11" spans="2:17" x14ac:dyDescent="0.3">
      <c r="C11" s="57" t="str">
        <f>IF(Analysis!A14="","",Analysis!A14)</f>
        <v/>
      </c>
      <c r="D11" s="57" t="e">
        <f>IF(Analysis!A14="",NA(),Analysis!B14)</f>
        <v>#N/A</v>
      </c>
    </row>
    <row r="12" spans="2:17" x14ac:dyDescent="0.3">
      <c r="C12" s="57" t="str">
        <f>IF(Analysis!A15="","",Analysis!A15)</f>
        <v/>
      </c>
      <c r="D12" s="57" t="e">
        <f>IF(Analysis!A15="",NA(),Analysis!B15)</f>
        <v>#N/A</v>
      </c>
    </row>
    <row r="13" spans="2:17" x14ac:dyDescent="0.3">
      <c r="C13" s="65" t="s">
        <v>58</v>
      </c>
      <c r="D13" s="57">
        <f>Analysis!B16</f>
        <v>0</v>
      </c>
    </row>
    <row r="25" spans="2:17" ht="15.6" x14ac:dyDescent="0.3">
      <c r="G25" s="69" t="s">
        <v>121</v>
      </c>
      <c r="P25" s="10"/>
    </row>
    <row r="26" spans="2:17" ht="15.6" x14ac:dyDescent="0.3">
      <c r="B26" s="69" t="s">
        <v>117</v>
      </c>
      <c r="P26" s="20" t="s">
        <v>42</v>
      </c>
      <c r="Q26" s="20" t="s">
        <v>122</v>
      </c>
    </row>
    <row r="27" spans="2:17" ht="15.6" x14ac:dyDescent="0.3">
      <c r="B27" s="70"/>
      <c r="P27" s="57" t="s">
        <v>123</v>
      </c>
      <c r="Q27" s="57">
        <f>IFERROR(Analysis!B20,NA())</f>
        <v>0</v>
      </c>
    </row>
    <row r="28" spans="2:17" x14ac:dyDescent="0.3">
      <c r="P28" s="57" t="s">
        <v>124</v>
      </c>
      <c r="Q28" s="57">
        <f>IFERROR(Analysis!D20,NA())</f>
        <v>0</v>
      </c>
    </row>
    <row r="29" spans="2:17" x14ac:dyDescent="0.3">
      <c r="C29" s="20" t="s">
        <v>78</v>
      </c>
      <c r="D29" s="20" t="s">
        <v>66</v>
      </c>
      <c r="P29" s="57" t="s">
        <v>125</v>
      </c>
      <c r="Q29" s="57">
        <f>IFERROR(Analysis!E20,NA())</f>
        <v>0</v>
      </c>
    </row>
    <row r="30" spans="2:17" x14ac:dyDescent="0.3">
      <c r="C30" s="57" t="str">
        <f>IF(Analysis!A6="","",Analysis!A6)</f>
        <v/>
      </c>
      <c r="D30" s="57" t="e">
        <f>IF(OR(Analysis!A6="",Analysis!C6=""),NA(),Analysis!C6)</f>
        <v>#N/A</v>
      </c>
      <c r="P30" s="57" t="s">
        <v>126</v>
      </c>
      <c r="Q30" s="57">
        <f>IFERROR(Analysis!C20,NA())</f>
        <v>0</v>
      </c>
    </row>
    <row r="31" spans="2:17" x14ac:dyDescent="0.3">
      <c r="C31" s="57" t="str">
        <f>IF(Analysis!A7="","",Analysis!A7)</f>
        <v/>
      </c>
      <c r="D31" s="57" t="e">
        <f>IF(OR(Analysis!A7="",Analysis!C7=""),NA(),Analysis!C7)</f>
        <v>#N/A</v>
      </c>
      <c r="P31" s="65" t="s">
        <v>58</v>
      </c>
      <c r="Q31" s="57">
        <f>Analysis!B16</f>
        <v>0</v>
      </c>
    </row>
    <row r="32" spans="2:17" x14ac:dyDescent="0.3">
      <c r="C32" s="57" t="str">
        <f>IF(Analysis!A8="","",Analysis!A8)</f>
        <v/>
      </c>
      <c r="D32" s="57" t="e">
        <f>IF(OR(Analysis!A8="",Analysis!C8=""),NA(),Analysis!C8)</f>
        <v>#N/A</v>
      </c>
    </row>
    <row r="33" spans="2:18" x14ac:dyDescent="0.3">
      <c r="C33" s="57" t="str">
        <f>IF(Analysis!A9="","",Analysis!A9)</f>
        <v/>
      </c>
      <c r="D33" s="57" t="e">
        <f>IF(OR(Analysis!A9="",Analysis!C9=""),NA(),Analysis!C9)</f>
        <v>#N/A</v>
      </c>
    </row>
    <row r="34" spans="2:18" x14ac:dyDescent="0.3">
      <c r="C34" s="57" t="str">
        <f>IF(Analysis!A10="","",Analysis!A10)</f>
        <v/>
      </c>
      <c r="D34" s="57" t="e">
        <f>IF(OR(Analysis!A10="",Analysis!C10=""),NA(),Analysis!C10)</f>
        <v>#N/A</v>
      </c>
    </row>
    <row r="35" spans="2:18" x14ac:dyDescent="0.3">
      <c r="C35" s="57" t="str">
        <f>IF(Analysis!A11="","",Analysis!A11)</f>
        <v/>
      </c>
      <c r="D35" s="57" t="e">
        <f>IF(OR(Analysis!A11="",Analysis!C11=""),NA(),Analysis!C11)</f>
        <v>#N/A</v>
      </c>
    </row>
    <row r="36" spans="2:18" x14ac:dyDescent="0.3">
      <c r="C36" s="57" t="str">
        <f>IF(Analysis!A12="","",Analysis!A12)</f>
        <v/>
      </c>
      <c r="D36" s="57" t="e">
        <f>IF(OR(Analysis!A12="",Analysis!C12=""),NA(),Analysis!C12)</f>
        <v>#N/A</v>
      </c>
    </row>
    <row r="37" spans="2:18" x14ac:dyDescent="0.3">
      <c r="C37" s="57" t="str">
        <f>IF(Analysis!A13="","",Analysis!A13)</f>
        <v/>
      </c>
      <c r="D37" s="57" t="e">
        <f>IF(OR(Analysis!A13="",Analysis!C13=""),NA(),Analysis!C13)</f>
        <v>#N/A</v>
      </c>
    </row>
    <row r="38" spans="2:18" x14ac:dyDescent="0.3">
      <c r="C38" s="57" t="str">
        <f>IF(Analysis!A14="","",Analysis!A14)</f>
        <v/>
      </c>
      <c r="D38" s="57" t="e">
        <f>IF(OR(Analysis!A14="",Analysis!C14=""),NA(),Analysis!C14)</f>
        <v>#N/A</v>
      </c>
    </row>
    <row r="39" spans="2:18" x14ac:dyDescent="0.3">
      <c r="C39" s="57" t="str">
        <f>IF(Analysis!A15="","",Analysis!A15)</f>
        <v/>
      </c>
      <c r="D39" s="57" t="e">
        <f>IF(OR(Analysis!A15="",Analysis!C15=""),NA(),Analysis!C15)</f>
        <v>#N/A</v>
      </c>
    </row>
    <row r="46" spans="2:18" ht="15.6" x14ac:dyDescent="0.3">
      <c r="G46" s="69" t="s">
        <v>127</v>
      </c>
      <c r="P46" s="10"/>
    </row>
    <row r="47" spans="2:18" ht="15.6" x14ac:dyDescent="0.3">
      <c r="B47" s="69" t="s">
        <v>118</v>
      </c>
      <c r="P47" s="20" t="s">
        <v>78</v>
      </c>
      <c r="Q47" s="20" t="s">
        <v>128</v>
      </c>
      <c r="R47" s="20" t="s">
        <v>58</v>
      </c>
    </row>
    <row r="48" spans="2:18" x14ac:dyDescent="0.3">
      <c r="P48" s="57" t="str">
        <f>IF(Analysis!A6="","",Analysis!A6)</f>
        <v/>
      </c>
      <c r="Q48" s="57" t="e">
        <f>IF(Analysis!A6="",NA(),Analysis!B6)</f>
        <v>#N/A</v>
      </c>
      <c r="R48" s="57" t="e">
        <f>IF(Analysis!A6="",NA(),Analysis!$B$16)</f>
        <v>#N/A</v>
      </c>
    </row>
    <row r="49" spans="3:18" x14ac:dyDescent="0.3">
      <c r="P49" s="57" t="str">
        <f>IF(Analysis!A7="","",Analysis!A7)</f>
        <v/>
      </c>
      <c r="Q49" s="57" t="e">
        <f>IF(Analysis!A7="",NA(),Analysis!B7)</f>
        <v>#N/A</v>
      </c>
      <c r="R49" s="57" t="e">
        <f>IF(Analysis!A7="",NA(),Analysis!$B$16)</f>
        <v>#N/A</v>
      </c>
    </row>
    <row r="50" spans="3:18" x14ac:dyDescent="0.3">
      <c r="P50" s="57" t="str">
        <f>IF(Analysis!A8="","",Analysis!A8)</f>
        <v/>
      </c>
      <c r="Q50" s="57" t="e">
        <f>IF(Analysis!A8="",NA(),Analysis!B8)</f>
        <v>#N/A</v>
      </c>
      <c r="R50" s="57" t="e">
        <f>IF(Analysis!A8="",NA(),Analysis!$B$16)</f>
        <v>#N/A</v>
      </c>
    </row>
    <row r="51" spans="3:18" x14ac:dyDescent="0.3">
      <c r="P51" s="57" t="str">
        <f>IF(Analysis!A9="","",Analysis!A9)</f>
        <v/>
      </c>
      <c r="Q51" s="57" t="e">
        <f>IF(Analysis!A9="",NA(),Analysis!B9)</f>
        <v>#N/A</v>
      </c>
      <c r="R51" s="57" t="e">
        <f>IF(Analysis!A9="",NA(),Analysis!$B$16)</f>
        <v>#N/A</v>
      </c>
    </row>
    <row r="52" spans="3:18" x14ac:dyDescent="0.3">
      <c r="C52" s="20" t="s">
        <v>94</v>
      </c>
      <c r="D52" s="20" t="s">
        <v>83</v>
      </c>
      <c r="P52" s="57" t="str">
        <f>IF(Analysis!A10="","",Analysis!A10)</f>
        <v/>
      </c>
      <c r="Q52" s="57" t="e">
        <f>IF(Analysis!A10="",NA(),Analysis!B10)</f>
        <v>#N/A</v>
      </c>
      <c r="R52" s="57" t="e">
        <f>IF(Analysis!A10="",NA(),Analysis!$B$16)</f>
        <v>#N/A</v>
      </c>
    </row>
    <row r="53" spans="3:18" x14ac:dyDescent="0.3">
      <c r="C53" s="57" t="s">
        <v>95</v>
      </c>
      <c r="D53" s="57">
        <f>IFERROR(Analysis!A32,0)</f>
        <v>0</v>
      </c>
      <c r="P53" s="57" t="str">
        <f>IF(Analysis!A11="","",Analysis!A11)</f>
        <v/>
      </c>
      <c r="Q53" s="57" t="e">
        <f>IF(Analysis!A11="",NA(),Analysis!B11)</f>
        <v>#N/A</v>
      </c>
      <c r="R53" s="57" t="e">
        <f>IF(Analysis!A11="",NA(),Analysis!$B$16)</f>
        <v>#N/A</v>
      </c>
    </row>
    <row r="54" spans="3:18" x14ac:dyDescent="0.3">
      <c r="C54" s="57" t="s">
        <v>96</v>
      </c>
      <c r="D54" s="57">
        <f>IFERROR(Analysis!B32,0)</f>
        <v>0</v>
      </c>
      <c r="P54" s="57" t="str">
        <f>IF(Analysis!A12="","",Analysis!A12)</f>
        <v/>
      </c>
      <c r="Q54" s="57" t="e">
        <f>IF(Analysis!A12="",NA(),Analysis!B12)</f>
        <v>#N/A</v>
      </c>
      <c r="R54" s="57" t="e">
        <f>IF(Analysis!A12="",NA(),Analysis!$B$16)</f>
        <v>#N/A</v>
      </c>
    </row>
    <row r="55" spans="3:18" x14ac:dyDescent="0.3">
      <c r="C55" s="57" t="s">
        <v>89</v>
      </c>
      <c r="D55" s="57">
        <f>IFERROR(Analysis!C32,0)</f>
        <v>0</v>
      </c>
      <c r="P55" s="57" t="str">
        <f>IF(Analysis!A13="","",Analysis!A13)</f>
        <v/>
      </c>
      <c r="Q55" s="57" t="e">
        <f>IF(Analysis!A13="",NA(),Analysis!B13)</f>
        <v>#N/A</v>
      </c>
      <c r="R55" s="57" t="e">
        <f>IF(Analysis!A13="",NA(),Analysis!$B$16)</f>
        <v>#N/A</v>
      </c>
    </row>
    <row r="56" spans="3:18" x14ac:dyDescent="0.3">
      <c r="C56" s="57" t="s">
        <v>90</v>
      </c>
      <c r="D56" s="57">
        <f>IFERROR(Analysis!D32,0)</f>
        <v>0</v>
      </c>
      <c r="P56" s="57" t="str">
        <f>IF(Analysis!A14="","",Analysis!A14)</f>
        <v/>
      </c>
      <c r="Q56" s="57" t="e">
        <f>IF(Analysis!A14="",NA(),Analysis!B14)</f>
        <v>#N/A</v>
      </c>
      <c r="R56" s="57" t="e">
        <f>IF(Analysis!A14="",NA(),Analysis!$B$16)</f>
        <v>#N/A</v>
      </c>
    </row>
    <row r="57" spans="3:18" x14ac:dyDescent="0.3">
      <c r="P57" s="57" t="str">
        <f>IF(Analysis!A15="","",Analysis!A15)</f>
        <v/>
      </c>
      <c r="Q57" s="57" t="e">
        <f>IF(Analysis!A15="",NA(),Analysis!B15)</f>
        <v>#N/A</v>
      </c>
      <c r="R57" s="57" t="e">
        <f>IF(Analysis!A15="",NA(),Analysis!$B$16)</f>
        <v>#N/A</v>
      </c>
    </row>
    <row r="67" spans="2:4" ht="15.6" x14ac:dyDescent="0.3">
      <c r="B67" s="70"/>
    </row>
    <row r="68" spans="2:4" ht="15.6" x14ac:dyDescent="0.3">
      <c r="B68" s="69" t="s">
        <v>119</v>
      </c>
    </row>
    <row r="74" spans="2:4" x14ac:dyDescent="0.3">
      <c r="C74" s="20" t="s">
        <v>78</v>
      </c>
      <c r="D74" s="20" t="s">
        <v>79</v>
      </c>
    </row>
    <row r="75" spans="2:4" x14ac:dyDescent="0.3">
      <c r="C75" s="57" t="str">
        <f>IFERROR(INDEX(Analysis!$A$6:$A$15,MATCH(D75,Analysis!$B$6:$B$15,0)),"")</f>
        <v/>
      </c>
      <c r="D75" s="57" t="e" cm="1">
        <f t="array" ref="D75">IFERROR(SMALL(IF(Analysis!$B$6:$B$15&gt;0,Analysis!$B$6:$B$15),1),NA())</f>
        <v>#N/A</v>
      </c>
    </row>
    <row r="76" spans="2:4" x14ac:dyDescent="0.3">
      <c r="C76" s="57" t="str">
        <f>IFERROR(INDEX(Analysis!$A$6:$A$15,MATCH(D76,Analysis!$B$6:$B$15,0)),"")</f>
        <v/>
      </c>
      <c r="D76" s="57" t="e" cm="1">
        <f t="array" ref="D76">IFERROR(SMALL(IF(Analysis!$B$6:$B$15&gt;0,Analysis!$B$6:$B$15),2),NA())</f>
        <v>#N/A</v>
      </c>
    </row>
    <row r="77" spans="2:4" x14ac:dyDescent="0.3">
      <c r="C77" s="57" t="str">
        <f>IFERROR(INDEX(Analysis!$A$6:$A$15,MATCH(D77,Analysis!$B$6:$B$15,0)),"")</f>
        <v/>
      </c>
      <c r="D77" s="57" t="e" cm="1">
        <f t="array" ref="D77">IFERROR(SMALL(IF(Analysis!$B$6:$B$15&gt;0,Analysis!$B$6:$B$15),3),NA())</f>
        <v>#N/A</v>
      </c>
    </row>
    <row r="78" spans="2:4" x14ac:dyDescent="0.3">
      <c r="C78" s="57" t="str">
        <f>IFERROR(INDEX(Analysis!$A$6:$A$15,MATCH(D78,Analysis!$B$6:$B$15,0)),"")</f>
        <v/>
      </c>
      <c r="D78" s="57" t="e" cm="1">
        <f t="array" ref="D78">IFERROR(SMALL(IF(Analysis!$B$6:$B$15&gt;0,Analysis!$B$6:$B$15),4),NA())</f>
        <v>#N/A</v>
      </c>
    </row>
    <row r="79" spans="2:4" x14ac:dyDescent="0.3">
      <c r="C79" s="57" t="str">
        <f>IFERROR(INDEX(Analysis!$A$6:$A$15,MATCH(D79,Analysis!$B$6:$B$15,0)),"")</f>
        <v/>
      </c>
      <c r="D79" s="57" t="e" cm="1">
        <f t="array" ref="D79">IFERROR(SMALL(IF(Analysis!$B$6:$B$15&gt;0,Analysis!$B$6:$B$15),5),NA())</f>
        <v>#N/A</v>
      </c>
    </row>
    <row r="80" spans="2:4" x14ac:dyDescent="0.3">
      <c r="C80" s="57" t="str">
        <f>IFERROR(INDEX(Analysis!$A$6:$A$15,MATCH(D80,Analysis!$B$6:$B$15,0)),"")</f>
        <v/>
      </c>
      <c r="D80" s="57" t="e" cm="1">
        <f t="array" ref="D80">IFERROR(SMALL(IF(Analysis!$B$6:$B$15&gt;0,Analysis!$B$6:$B$15),6),NA())</f>
        <v>#N/A</v>
      </c>
    </row>
    <row r="81" spans="3:4" x14ac:dyDescent="0.3">
      <c r="C81" s="57" t="str">
        <f>IFERROR(INDEX(Analysis!$A$6:$A$15,MATCH(D81,Analysis!$B$6:$B$15,0)),"")</f>
        <v/>
      </c>
      <c r="D81" s="57" t="e" cm="1">
        <f t="array" ref="D81">IFERROR(SMALL(IF(Analysis!$B$6:$B$15&gt;0,Analysis!$B$6:$B$15),7),NA())</f>
        <v>#N/A</v>
      </c>
    </row>
    <row r="82" spans="3:4" x14ac:dyDescent="0.3">
      <c r="C82" s="57" t="str">
        <f>IFERROR(INDEX(Analysis!$A$6:$A$15,MATCH(D82,Analysis!$B$6:$B$15,0)),"")</f>
        <v/>
      </c>
      <c r="D82" s="57" t="e" cm="1">
        <f t="array" ref="D82">IFERROR(SMALL(IF(Analysis!$B$6:$B$15&gt;0,Analysis!$B$6:$B$15),8),NA())</f>
        <v>#N/A</v>
      </c>
    </row>
    <row r="83" spans="3:4" x14ac:dyDescent="0.3">
      <c r="C83" s="57" t="str">
        <f>IFERROR(INDEX(Analysis!$A$6:$A$15,MATCH(D83,Analysis!$B$6:$B$15,0)),"")</f>
        <v/>
      </c>
      <c r="D83" s="57" t="e" cm="1">
        <f t="array" ref="D83">IFERROR(SMALL(IF(Analysis!$B$6:$B$15&gt;0,Analysis!$B$6:$B$15),9),NA())</f>
        <v>#N/A</v>
      </c>
    </row>
    <row r="84" spans="3:4" x14ac:dyDescent="0.3">
      <c r="C84" s="57" t="str">
        <f>IFERROR(INDEX(Analysis!$A$6:$A$15,MATCH(D84,Analysis!$B$6:$B$15,0)),"")</f>
        <v/>
      </c>
      <c r="D84" s="57" t="e" cm="1">
        <f t="array" ref="D84">IFERROR(SMALL(IF(Analysis!$B$6:$B$15&gt;0,Analysis!$B$6:$B$15),10),NA())</f>
        <v>#N/A</v>
      </c>
    </row>
  </sheetData>
  <sheetProtection sheet="1" objects="1" scenarios="1" sort="0" autoFilter="0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Abstract</vt:lpstr>
      <vt:lpstr>CLIN Detail</vt:lpstr>
      <vt:lpstr>Analysis</vt:lpstr>
      <vt:lpstr>Charts</vt:lpstr>
      <vt:lpstr>IGElabel</vt:lpstr>
      <vt:lpstr>OfferorNames</vt:lpstr>
      <vt:lpstr>Abstract!Print_Area</vt:lpstr>
      <vt:lpstr>'CLIN Detail'!Print_Area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hazelett</dc:creator>
  <cp:lastModifiedBy>Nick hazelett</cp:lastModifiedBy>
  <dcterms:created xsi:type="dcterms:W3CDTF">2026-04-20T00:20:48Z</dcterms:created>
  <dcterms:modified xsi:type="dcterms:W3CDTF">2026-04-20T01:54:51Z</dcterms:modified>
</cp:coreProperties>
</file>